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omments2.xml" ContentType="application/vnd.openxmlformats-officedocument.spreadsheetml.comments+xml"/>
  <Override PartName="/xl/comments3.xml" ContentType="application/vnd.openxmlformats-officedocument.spreadsheetml.comments+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fileVersion appName="xl" lastEdited="5" lowestEdited="6" rupBuild="9303"/>
  <workbookPr/>
  <bookViews>
    <workbookView tabRatio="728" windowHeight="3960" windowWidth="20520" xWindow="-15" yWindow="-15"/>
  </bookViews>
  <sheets>
    <sheet r:id="rId1" name="メイン" sheetId="2"/>
    <sheet r:id="rId2" name="結果" sheetId="4"/>
    <sheet r:id="rId3" name="重点項目" sheetId="21"/>
    <sheet r:id="rId4" name="スコア" sheetId="5"/>
    <sheet r:id="rId5" name="配慮" sheetId="7"/>
    <sheet r:id="rId6" name="係数" sheetId="3"/>
    <sheet r:id="rId7" name="採点Q1" sheetId="8"/>
    <sheet r:id="rId8" name="採点Q2" sheetId="9"/>
    <sheet r:id="rId9" name="採点Q3" sheetId="10"/>
    <sheet r:id="rId10" name="採点LR1" sheetId="11"/>
    <sheet r:id="rId11" name="計画書" sheetId="20"/>
    <sheet r:id="rId12" name="採点LR2" sheetId="13"/>
    <sheet r:id="rId13" name="採点LR3" sheetId="14"/>
    <sheet r:id="rId14" name="CO2計算" sheetId="6"/>
    <sheet r:id="rId15" name="重み" sheetId="18"/>
    <sheet r:id="rId16" name="条件(標準)" sheetId="16"/>
    <sheet r:id="rId17" name="条件(個別)" sheetId="17"/>
    <sheet r:id="rId18" name="CO2データ" sheetId="15"/>
    <sheet r:id="rId19" name="クレジット" sheetId="19"/>
  </sheets>
  <definedNames>
    <definedName hidden="1" localSheetId="6" name="_xlnm._FilterDatabase">採点Q1!#REF!</definedName>
    <definedName localSheetId="17" name="_xlnm.Print_Area">CO2データ!$A$1:$R$278</definedName>
    <definedName localSheetId="13" name="_xlnm.Print_Area">CO2計算!$B$1:$Z$178</definedName>
    <definedName localSheetId="18" name="_xlnm.Print_Area">クレジット!$A$1:$S$37</definedName>
    <definedName localSheetId="3" name="_xlnm.Print_Area">スコア!$A$1:$Q$181</definedName>
    <definedName localSheetId="0" name="_xlnm.Print_Area">メイン!$A$1:$G$72</definedName>
    <definedName localSheetId="5" name="_xlnm.Print_Area">係数!$A$1:$L$48</definedName>
    <definedName localSheetId="10" name="_xlnm.Print_Area">計画書!$1:$121</definedName>
    <definedName localSheetId="1" name="_xlnm.Print_Area">結果!$A$1:$P$97</definedName>
    <definedName localSheetId="9" name="_xlnm.Print_Area">採点LR1!$C$1:$P$163</definedName>
    <definedName localSheetId="11" name="_xlnm.Print_Area">採点LR2!$C$1:$P$266</definedName>
    <definedName localSheetId="12" name="_xlnm.Print_Area">採点LR3!$D$1:$O$257</definedName>
    <definedName localSheetId="6" name="_xlnm.Print_Area">採点Q1!$D$1:$P$441</definedName>
    <definedName localSheetId="7" name="_xlnm.Print_Area">採点Q2!$C$1:$P$425</definedName>
    <definedName localSheetId="14" name="_xlnm.Print_Area">重み!$A$1:$CD$180</definedName>
    <definedName localSheetId="16" name="_xlnm.Print_Area">'条件(個別)'!$A$1:$F$90</definedName>
    <definedName localSheetId="14" name="_xlnm.Print_Titles">重み!$5:$6</definedName>
    <definedName hidden="1" localSheetId="17" name="Z_047384A4_E844_4BB4_B522_1CE13C4699E4_.wvu.Cols">CO2データ!$G:$H,CO2データ!$S:$IV</definedName>
    <definedName hidden="1" localSheetId="13" name="Z_047384A4_E844_4BB4_B522_1CE13C4699E4_.wvu.Cols">CO2計算!$Q:$IV</definedName>
    <definedName hidden="1" localSheetId="18" name="Z_047384A4_E844_4BB4_B522_1CE13C4699E4_.wvu.Cols">クレジット!$T:$IV</definedName>
    <definedName hidden="1" localSheetId="3" name="Z_047384A4_E844_4BB4_B522_1CE13C4699E4_.wvu.Cols">スコア!$G:$G,スコア!$V:$IW</definedName>
    <definedName hidden="1" localSheetId="0" name="Z_047384A4_E844_4BB4_B522_1CE13C4699E4_.wvu.Cols">メイン!$I:$IV</definedName>
    <definedName hidden="1" localSheetId="9" name="Z_047384A4_E844_4BB4_B522_1CE13C4699E4_.wvu.Cols">採点LR1!$Q:$IV</definedName>
    <definedName hidden="1" localSheetId="11" name="Z_047384A4_E844_4BB4_B522_1CE13C4699E4_.wvu.Cols">採点LR2!$Q:$IV</definedName>
    <definedName hidden="1" localSheetId="12" name="Z_047384A4_E844_4BB4_B522_1CE13C4699E4_.wvu.Cols">採点LR3!$Q:$IV</definedName>
    <definedName hidden="1" localSheetId="6" name="Z_047384A4_E844_4BB4_B522_1CE13C4699E4_.wvu.Cols">採点Q1!$Q:$IV</definedName>
    <definedName hidden="1" localSheetId="7" name="Z_047384A4_E844_4BB4_B522_1CE13C4699E4_.wvu.Cols">採点Q2!$Q:$IV</definedName>
    <definedName hidden="1" localSheetId="8" name="Z_047384A4_E844_4BB4_B522_1CE13C4699E4_.wvu.Cols">採点Q3!$Q:$IV</definedName>
    <definedName hidden="1" localSheetId="14" name="Z_047384A4_E844_4BB4_B522_1CE13C4699E4_.wvu.Cols">重み!$Q:$Q,重み!$AY:$AY,重み!$BP:$BP,重み!$CG:$IW</definedName>
    <definedName hidden="1" localSheetId="16" name="Z_047384A4_E844_4BB4_B522_1CE13C4699E4_.wvu.Cols">'条件(個別)'!$H:$IV</definedName>
    <definedName hidden="1" localSheetId="15" name="Z_047384A4_E844_4BB4_B522_1CE13C4699E4_.wvu.Cols">'条件(標準)'!$H:$IV</definedName>
    <definedName hidden="1" localSheetId="4" name="Z_047384A4_E844_4BB4_B522_1CE13C4699E4_.wvu.Cols">配慮!$G:$IV</definedName>
    <definedName hidden="1" localSheetId="17" name="Z_047384A4_E844_4BB4_B522_1CE13C4699E4_.wvu.PrintArea">CO2データ!$A$1:$R$278</definedName>
    <definedName hidden="1" localSheetId="13" name="Z_047384A4_E844_4BB4_B522_1CE13C4699E4_.wvu.PrintArea">CO2計算!$B$1:$Z$178</definedName>
    <definedName hidden="1" localSheetId="18" name="Z_047384A4_E844_4BB4_B522_1CE13C4699E4_.wvu.PrintArea">クレジット!$A$1:$S$37</definedName>
    <definedName hidden="1" localSheetId="3" name="Z_047384A4_E844_4BB4_B522_1CE13C4699E4_.wvu.PrintArea">スコア!$A$1:$R$181</definedName>
    <definedName hidden="1" localSheetId="0" name="Z_047384A4_E844_4BB4_B522_1CE13C4699E4_.wvu.PrintArea">メイン!$A$1:$G$70</definedName>
    <definedName hidden="1" localSheetId="1" name="Z_047384A4_E844_4BB4_B522_1CE13C4699E4_.wvu.PrintArea">結果!$A$1:$P$97</definedName>
    <definedName hidden="1" localSheetId="9" name="Z_047384A4_E844_4BB4_B522_1CE13C4699E4_.wvu.PrintArea">採点LR1!$C$1:$P$162</definedName>
    <definedName hidden="1" localSheetId="11" name="Z_047384A4_E844_4BB4_B522_1CE13C4699E4_.wvu.PrintArea">採点LR2!$C$1:$P$238</definedName>
    <definedName hidden="1" localSheetId="12" name="Z_047384A4_E844_4BB4_B522_1CE13C4699E4_.wvu.PrintArea">採点LR3!$C$1:$P$258</definedName>
    <definedName hidden="1" localSheetId="6" name="Z_047384A4_E844_4BB4_B522_1CE13C4699E4_.wvu.PrintArea">採点Q1!$A$1:$P$442</definedName>
    <definedName hidden="1" localSheetId="7" name="Z_047384A4_E844_4BB4_B522_1CE13C4699E4_.wvu.PrintArea">採点Q2!$C$1:$P$425</definedName>
    <definedName hidden="1" localSheetId="8" name="Z_047384A4_E844_4BB4_B522_1CE13C4699E4_.wvu.PrintArea">採点Q3!$C$1:$P$132</definedName>
    <definedName hidden="1" localSheetId="14" name="Z_047384A4_E844_4BB4_B522_1CE13C4699E4_.wvu.PrintArea">重み!$A$1:$CD$180</definedName>
    <definedName hidden="1" localSheetId="14" name="Z_047384A4_E844_4BB4_B522_1CE13C4699E4_.wvu.PrintTitles">重み!$5:$6</definedName>
    <definedName hidden="1" localSheetId="17" name="Z_047384A4_E844_4BB4_B522_1CE13C4699E4_.wvu.Rows">CO2データ!$280:$65543,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$189:$189,CO2データ!#REF!,CO2データ!#REF!,CO2データ!#REF!,CO2データ!$270:$270,CO2データ!$279:$279</definedName>
    <definedName hidden="1" localSheetId="13" name="Z_047384A4_E844_4BB4_B522_1CE13C4699E4_.wvu.Rows">CO2計算!$174:$65538,CO2計算!$26:$99,CO2計算!$138:$173</definedName>
    <definedName hidden="1" localSheetId="18" name="Z_047384A4_E844_4BB4_B522_1CE13C4699E4_.wvu.Rows">クレジット!$39:$65536,クレジット!$38:$38</definedName>
    <definedName hidden="1" localSheetId="3" name="Z_047384A4_E844_4BB4_B522_1CE13C4699E4_.wvu.Rows">スコア!$182:$65536,スコア!$32:$33,スコア!$74:$74,スコア!$87:$89,スコア!$96:$96,スコア!$115:$115,スコア!$120:$121,スコア!$125:$132</definedName>
    <definedName hidden="1" localSheetId="0" name="Z_047384A4_E844_4BB4_B522_1CE13C4699E4_.wvu.Rows">メイン!$108:$65536,メイン!$89:$107</definedName>
    <definedName hidden="1" localSheetId="1" name="Z_047384A4_E844_4BB4_B522_1CE13C4699E4_.wvu.Rows">結果!$215:$65536,結果!$17:$20,結果!$71:$92,結果!$98:$214</definedName>
    <definedName hidden="1" localSheetId="9" name="Z_047384A4_E844_4BB4_B522_1CE13C4699E4_.wvu.Rows">採点LR1!$324:$65550,採点LR1!#REF!,採点LR1!#REF!,採点LR1!$163:$322</definedName>
    <definedName hidden="1" localSheetId="11" name="Z_047384A4_E844_4BB4_B522_1CE13C4699E4_.wvu.Rows">採点LR2!$561:$65537,採点LR2!$197:$197,採点LR2!$239:$560</definedName>
    <definedName hidden="1" localSheetId="12" name="Z_047384A4_E844_4BB4_B522_1CE13C4699E4_.wvu.Rows">採点LR3!$259:$65555,採点LR3!#REF!,採点LR3!#REF!</definedName>
    <definedName hidden="1" localSheetId="6" name="Z_047384A4_E844_4BB4_B522_1CE13C4699E4_.wvu.Rows">採点Q1!$643:$65536,採点Q1!#REF!,採点Q1!$443:$642</definedName>
    <definedName hidden="1" localSheetId="7" name="Z_047384A4_E844_4BB4_B522_1CE13C4699E4_.wvu.Rows">採点Q2!$430:$65537,採点Q2!$167:$187,採点Q2!$227:$227,採点Q2!#REF!,採点Q2!$393:$417</definedName>
    <definedName hidden="1" localSheetId="8" name="Z_047384A4_E844_4BB4_B522_1CE13C4699E4_.wvu.Rows">採点Q3!$260:$65536,採点Q3!$112:$258</definedName>
    <definedName hidden="1" localSheetId="14" name="Z_047384A4_E844_4BB4_B522_1CE13C4699E4_.wvu.Rows">重み!$219:$65536,重み!$32:$33,重み!$96:$96,重み!$115:$115,重み!$132:$132,重み!$182:$218</definedName>
    <definedName hidden="1" localSheetId="16" name="Z_047384A4_E844_4BB4_B522_1CE13C4699E4_.wvu.Rows">'条件(個別)'!$73:$65536,'条件(個別)'!$37:$37</definedName>
    <definedName hidden="1" localSheetId="15" name="Z_047384A4_E844_4BB4_B522_1CE13C4699E4_.wvu.Rows">'条件(標準)'!$73:$65536,'条件(標準)'!$37:$37</definedName>
    <definedName hidden="1" localSheetId="4" name="Z_047384A4_E844_4BB4_B522_1CE13C4699E4_.wvu.Rows">配慮!$18:$65536,配慮!$13:$17</definedName>
  </definedNames>
  <calcPr calcId="145621"/>
</workbook>
</file>

<file path=xl/calcChain.xml><?xml version="1.0" encoding="utf-8"?>
<calcChain xmlns="http://schemas.openxmlformats.org/spreadsheetml/2006/main">
  <c r="L26" i="21" l="1"/>
  <c r="D14" i="16" l="1"/>
  <c r="D15" i="16"/>
  <c r="D16" i="16"/>
  <c r="D62" i="16"/>
  <c r="D61" i="16"/>
  <c r="Z4" i="20" l="1"/>
  <c r="Z3" i="20"/>
  <c r="V4" i="20"/>
  <c r="V3" i="20"/>
  <c r="F18" i="21" l="1"/>
  <c r="B2" i="5" l="1"/>
  <c r="F20" i="21" l="1"/>
  <c r="F17" i="21"/>
  <c r="E9" i="21"/>
  <c r="E8" i="21"/>
  <c r="B7" i="21"/>
  <c r="Q180" i="18" l="1"/>
  <c r="P180" i="18"/>
  <c r="Q179" i="18"/>
  <c r="P179" i="18"/>
  <c r="Q178" i="18"/>
  <c r="P178" i="18"/>
  <c r="Q177" i="18"/>
  <c r="P177" i="18"/>
  <c r="Q176" i="18"/>
  <c r="P176" i="18"/>
  <c r="Q175" i="18"/>
  <c r="P175" i="18"/>
  <c r="Q174" i="18"/>
  <c r="P174" i="18"/>
  <c r="Q173" i="18"/>
  <c r="P173" i="18"/>
  <c r="Q172" i="18"/>
  <c r="P172" i="18"/>
  <c r="Q171" i="18"/>
  <c r="P171" i="18"/>
  <c r="Q170" i="18"/>
  <c r="P170" i="18"/>
  <c r="Q169" i="18"/>
  <c r="P169" i="18"/>
  <c r="Q168" i="18"/>
  <c r="P168" i="18"/>
  <c r="Q167" i="18"/>
  <c r="P167" i="18"/>
  <c r="Q166" i="18"/>
  <c r="P166" i="18"/>
  <c r="Q165" i="18"/>
  <c r="P165" i="18"/>
  <c r="Q164" i="18"/>
  <c r="P164" i="18"/>
  <c r="Q163" i="18"/>
  <c r="P163" i="18"/>
  <c r="Q162" i="18"/>
  <c r="P162" i="18"/>
  <c r="Q161" i="18"/>
  <c r="P161" i="18"/>
  <c r="Q160" i="18"/>
  <c r="P160" i="18"/>
  <c r="Q159" i="18"/>
  <c r="P159" i="18"/>
  <c r="Q158" i="18"/>
  <c r="P158" i="18"/>
  <c r="Q157" i="18"/>
  <c r="P157" i="18"/>
  <c r="Q156" i="18"/>
  <c r="P156" i="18"/>
  <c r="Q155" i="18"/>
  <c r="P155" i="18"/>
  <c r="Q154" i="18"/>
  <c r="P154" i="18"/>
  <c r="Q153" i="18"/>
  <c r="P153" i="18"/>
  <c r="Q152" i="18"/>
  <c r="P152" i="18"/>
  <c r="Q151" i="18"/>
  <c r="P151" i="18"/>
  <c r="Q150" i="18"/>
  <c r="P150" i="18"/>
  <c r="Q149" i="18"/>
  <c r="P149" i="18"/>
  <c r="Q148" i="18"/>
  <c r="P148" i="18"/>
  <c r="Q147" i="18"/>
  <c r="P147" i="18"/>
  <c r="Q146" i="18"/>
  <c r="P146" i="18"/>
  <c r="Q145" i="18"/>
  <c r="P145" i="18"/>
  <c r="Q144" i="18"/>
  <c r="P144" i="18"/>
  <c r="Q143" i="18"/>
  <c r="P143" i="18"/>
  <c r="Q142" i="18"/>
  <c r="P142" i="18"/>
  <c r="Q141" i="18"/>
  <c r="P141" i="18"/>
  <c r="Q140" i="18"/>
  <c r="P140" i="18"/>
  <c r="Q139" i="18"/>
  <c r="P139" i="18"/>
  <c r="Q138" i="18"/>
  <c r="P138" i="18"/>
  <c r="Q137" i="18"/>
  <c r="P137" i="18"/>
  <c r="Q136" i="18"/>
  <c r="P136" i="18"/>
  <c r="Q135" i="18"/>
  <c r="P135" i="18"/>
  <c r="Q134" i="18"/>
  <c r="P134" i="18"/>
  <c r="Q133" i="18"/>
  <c r="P133" i="18"/>
  <c r="Q132" i="18"/>
  <c r="P132" i="18"/>
  <c r="Q131" i="18"/>
  <c r="P131" i="18"/>
  <c r="Q130" i="18"/>
  <c r="P130" i="18"/>
  <c r="Q129" i="18"/>
  <c r="P129" i="18"/>
  <c r="Q128" i="18"/>
  <c r="P128" i="18"/>
  <c r="Q127" i="18"/>
  <c r="P127" i="18"/>
  <c r="Q126" i="18"/>
  <c r="P126" i="18"/>
  <c r="Q125" i="18"/>
  <c r="P125" i="18"/>
  <c r="Q124" i="18"/>
  <c r="P124" i="18"/>
  <c r="Q123" i="18"/>
  <c r="P123" i="18"/>
  <c r="Q122" i="18"/>
  <c r="P122" i="18"/>
  <c r="Q121" i="18"/>
  <c r="P121" i="18"/>
  <c r="Q120" i="18"/>
  <c r="P120" i="18"/>
  <c r="Q119" i="18"/>
  <c r="P119" i="18"/>
  <c r="Q118" i="18"/>
  <c r="P118" i="18"/>
  <c r="Q117" i="18"/>
  <c r="P117" i="18"/>
  <c r="Q116" i="18"/>
  <c r="P116" i="18"/>
  <c r="Q115" i="18"/>
  <c r="P115" i="18"/>
  <c r="Q114" i="18"/>
  <c r="P114" i="18"/>
  <c r="Q113" i="18"/>
  <c r="P113" i="18"/>
  <c r="Q112" i="18"/>
  <c r="P112" i="18"/>
  <c r="Q111" i="18"/>
  <c r="P111" i="18"/>
  <c r="Q110" i="18"/>
  <c r="P110" i="18"/>
  <c r="Q109" i="18"/>
  <c r="P109" i="18"/>
  <c r="Q108" i="18"/>
  <c r="P108" i="18"/>
  <c r="Q107" i="18"/>
  <c r="P107" i="18"/>
  <c r="Q106" i="18"/>
  <c r="P106" i="18"/>
  <c r="Q105" i="18"/>
  <c r="P105" i="18"/>
  <c r="Q104" i="18"/>
  <c r="P104" i="18"/>
  <c r="Q103" i="18"/>
  <c r="P103" i="18"/>
  <c r="Q102" i="18"/>
  <c r="P102" i="18"/>
  <c r="Q101" i="18"/>
  <c r="P101" i="18"/>
  <c r="Q100" i="18"/>
  <c r="P100" i="18"/>
  <c r="Q99" i="18"/>
  <c r="P99" i="18"/>
  <c r="Q98" i="18"/>
  <c r="P98" i="18"/>
  <c r="Q97" i="18"/>
  <c r="P97" i="18"/>
  <c r="Q96" i="18"/>
  <c r="P96" i="18"/>
  <c r="Q95" i="18"/>
  <c r="P95" i="18"/>
  <c r="Q94" i="18"/>
  <c r="P94" i="18"/>
  <c r="Q93" i="18"/>
  <c r="P93" i="18"/>
  <c r="Q92" i="18"/>
  <c r="P92" i="18"/>
  <c r="Q91" i="18"/>
  <c r="P91" i="18"/>
  <c r="Q90" i="18"/>
  <c r="P90" i="18"/>
  <c r="Q89" i="18"/>
  <c r="P89" i="18"/>
  <c r="Q88" i="18"/>
  <c r="P88" i="18"/>
  <c r="Q87" i="18"/>
  <c r="P87" i="18"/>
  <c r="Q86" i="18"/>
  <c r="P86" i="18"/>
  <c r="Q85" i="18"/>
  <c r="P85" i="18"/>
  <c r="Q84" i="18"/>
  <c r="P84" i="18"/>
  <c r="Q83" i="18"/>
  <c r="P83" i="18"/>
  <c r="Q82" i="18"/>
  <c r="P82" i="18"/>
  <c r="Q81" i="18"/>
  <c r="P81" i="18"/>
  <c r="Q80" i="18"/>
  <c r="P80" i="18"/>
  <c r="Q79" i="18"/>
  <c r="P79" i="18"/>
  <c r="Q78" i="18"/>
  <c r="P78" i="18"/>
  <c r="Q77" i="18"/>
  <c r="P77" i="18"/>
  <c r="Q76" i="18"/>
  <c r="P76" i="18"/>
  <c r="Q75" i="18"/>
  <c r="P75" i="18"/>
  <c r="Q74" i="18"/>
  <c r="P74" i="18"/>
  <c r="Q73" i="18"/>
  <c r="P73" i="18"/>
  <c r="Q72" i="18"/>
  <c r="P72" i="18"/>
  <c r="Q71" i="18"/>
  <c r="P71" i="18"/>
  <c r="Q70" i="18"/>
  <c r="P70" i="18"/>
  <c r="Q69" i="18"/>
  <c r="P69" i="18"/>
  <c r="Q68" i="18"/>
  <c r="P68" i="18"/>
  <c r="Q67" i="18"/>
  <c r="P67" i="18"/>
  <c r="Q66" i="18"/>
  <c r="P66" i="18"/>
  <c r="Q65" i="18"/>
  <c r="P65" i="18"/>
  <c r="Q64" i="18"/>
  <c r="P64" i="18"/>
  <c r="Q63" i="18"/>
  <c r="P63" i="18"/>
  <c r="Q62" i="18"/>
  <c r="P62" i="18"/>
  <c r="Q61" i="18"/>
  <c r="P61" i="18"/>
  <c r="Q60" i="18"/>
  <c r="P60" i="18"/>
  <c r="Q59" i="18"/>
  <c r="P59" i="18"/>
  <c r="Q58" i="18"/>
  <c r="P58" i="18"/>
  <c r="Q57" i="18"/>
  <c r="P57" i="18"/>
  <c r="Q56" i="18"/>
  <c r="P56" i="18"/>
  <c r="Q55" i="18"/>
  <c r="P55" i="18"/>
  <c r="Q54" i="18"/>
  <c r="P54" i="18"/>
  <c r="Q53" i="18"/>
  <c r="P53" i="18"/>
  <c r="Q52" i="18"/>
  <c r="P52" i="18"/>
  <c r="Q51" i="18"/>
  <c r="P51" i="18"/>
  <c r="Q50" i="18"/>
  <c r="P50" i="18"/>
  <c r="Q49" i="18"/>
  <c r="P49" i="18"/>
  <c r="Q48" i="18"/>
  <c r="P48" i="18"/>
  <c r="Q47" i="18"/>
  <c r="P47" i="18"/>
  <c r="Q46" i="18"/>
  <c r="P46" i="18"/>
  <c r="Q45" i="18"/>
  <c r="P45" i="18"/>
  <c r="Q44" i="18"/>
  <c r="P44" i="18"/>
  <c r="Q43" i="18"/>
  <c r="P43" i="18"/>
  <c r="Q42" i="18"/>
  <c r="P42" i="18"/>
  <c r="Q41" i="18"/>
  <c r="P41" i="18"/>
  <c r="Q40" i="18"/>
  <c r="P40" i="18"/>
  <c r="Q39" i="18"/>
  <c r="P39" i="18"/>
  <c r="Q38" i="18"/>
  <c r="P38" i="18"/>
  <c r="Q37" i="18"/>
  <c r="P37" i="18"/>
  <c r="Q36" i="18"/>
  <c r="P36" i="18"/>
  <c r="Q35" i="18"/>
  <c r="P35" i="18"/>
  <c r="Q34" i="18"/>
  <c r="P34" i="18"/>
  <c r="Q33" i="18"/>
  <c r="P33" i="18"/>
  <c r="Q32" i="18"/>
  <c r="P32" i="18"/>
  <c r="Q31" i="18"/>
  <c r="P31" i="18"/>
  <c r="Q30" i="18"/>
  <c r="P30" i="18"/>
  <c r="Q29" i="18"/>
  <c r="P29" i="18"/>
  <c r="Q28" i="18"/>
  <c r="P28" i="18"/>
  <c r="Q27" i="18"/>
  <c r="P27" i="18"/>
  <c r="Q26" i="18"/>
  <c r="P26" i="18"/>
  <c r="Q25" i="18"/>
  <c r="P25" i="18"/>
  <c r="Q24" i="18"/>
  <c r="P24" i="18"/>
  <c r="Q23" i="18"/>
  <c r="P23" i="18"/>
  <c r="Q22" i="18"/>
  <c r="P22" i="18"/>
  <c r="Q21" i="18"/>
  <c r="P21" i="18"/>
  <c r="Q20" i="18"/>
  <c r="P20" i="18"/>
  <c r="Q19" i="18"/>
  <c r="P19" i="18"/>
  <c r="Q18" i="18"/>
  <c r="P18" i="18"/>
  <c r="Q17" i="18"/>
  <c r="P17" i="18"/>
  <c r="Q16" i="18"/>
  <c r="P16" i="18"/>
  <c r="Q15" i="18"/>
  <c r="P15" i="18"/>
  <c r="Q14" i="18"/>
  <c r="P14" i="18"/>
  <c r="Q13" i="18"/>
  <c r="P13" i="18"/>
  <c r="Q12" i="18"/>
  <c r="P12" i="18"/>
  <c r="Q11" i="18"/>
  <c r="P11" i="18"/>
  <c r="Q10" i="18"/>
  <c r="P10" i="18"/>
  <c r="Q9" i="18"/>
  <c r="P9" i="18"/>
  <c r="AA64" i="18"/>
  <c r="F245" i="9" l="1"/>
  <c r="F244" i="9"/>
  <c r="F243" i="9"/>
  <c r="F242" i="9"/>
  <c r="F241" i="9"/>
  <c r="K236" i="9"/>
  <c r="F236" i="9"/>
  <c r="K235" i="9"/>
  <c r="F235" i="9"/>
  <c r="K234" i="9"/>
  <c r="F234" i="9"/>
  <c r="K233" i="9"/>
  <c r="F233" i="9"/>
  <c r="K232" i="9"/>
  <c r="F232" i="9"/>
  <c r="G187" i="9"/>
  <c r="F177" i="9" s="1"/>
  <c r="G157" i="9"/>
  <c r="F145" i="9" s="1"/>
  <c r="G112" i="9"/>
  <c r="F105" i="9" s="1"/>
  <c r="G103" i="9"/>
  <c r="F95" i="9" s="1"/>
  <c r="Q3" i="18" l="1"/>
  <c r="AA9" i="18" s="1"/>
  <c r="AA62" i="18" l="1"/>
  <c r="AP3" i="5"/>
  <c r="AP2" i="5"/>
  <c r="AW75" i="5"/>
  <c r="AP168" i="5"/>
  <c r="AP167" i="5"/>
  <c r="AP166" i="5"/>
  <c r="AP165" i="5"/>
  <c r="AP164" i="5"/>
  <c r="AP163" i="5"/>
  <c r="AP162" i="5"/>
  <c r="AP152" i="5"/>
  <c r="AP151" i="5"/>
  <c r="AP150" i="5"/>
  <c r="AP149" i="5"/>
  <c r="AP148" i="5"/>
  <c r="AP147" i="5"/>
  <c r="AP145" i="5"/>
  <c r="AP144" i="5"/>
  <c r="AP143" i="5"/>
  <c r="AP142" i="5"/>
  <c r="AP132" i="5"/>
  <c r="AP131" i="5"/>
  <c r="AP130" i="5"/>
  <c r="AP129" i="5"/>
  <c r="AP128" i="5"/>
  <c r="AP127" i="5"/>
  <c r="AP126" i="5"/>
  <c r="AP125" i="5"/>
  <c r="AP123" i="5"/>
  <c r="AP122" i="5"/>
  <c r="AP121" i="5"/>
  <c r="AP120" i="5"/>
  <c r="AP96" i="5"/>
  <c r="AP95" i="5"/>
  <c r="AP94" i="5"/>
  <c r="AP93" i="5"/>
  <c r="AP92" i="5"/>
  <c r="AP91" i="5"/>
  <c r="AP90" i="5"/>
  <c r="AP89" i="5"/>
  <c r="AP88" i="5"/>
  <c r="AP87" i="5"/>
  <c r="AP86" i="5"/>
  <c r="AP85" i="5"/>
  <c r="AP84" i="5"/>
  <c r="AP83" i="5"/>
  <c r="AP82" i="5"/>
  <c r="AP81" i="5"/>
  <c r="AP80" i="5"/>
  <c r="AP79" i="5"/>
  <c r="AP78" i="5"/>
  <c r="AP77" i="5"/>
  <c r="AP76" i="5"/>
  <c r="AP74" i="5"/>
  <c r="AP73" i="5"/>
  <c r="AP72" i="5"/>
  <c r="AP71" i="5"/>
  <c r="AP70" i="5"/>
  <c r="AP69" i="5"/>
  <c r="AP68" i="5"/>
  <c r="AP67" i="5"/>
  <c r="AP66" i="5"/>
  <c r="AP65" i="5"/>
  <c r="AP64" i="5"/>
  <c r="AP63" i="5"/>
  <c r="AP46" i="5"/>
  <c r="AP45" i="5"/>
  <c r="AP44" i="5"/>
  <c r="AP43" i="5"/>
  <c r="AP42" i="5"/>
  <c r="AP41" i="5"/>
  <c r="AP40" i="5"/>
  <c r="AP39" i="5"/>
  <c r="AP38" i="5"/>
  <c r="AP37" i="5"/>
  <c r="AP36" i="5"/>
  <c r="AP35" i="5"/>
  <c r="AP33" i="5"/>
  <c r="AP32" i="5"/>
  <c r="AP31" i="5"/>
  <c r="AP30" i="5"/>
  <c r="AP29" i="5"/>
  <c r="AP28" i="5"/>
  <c r="AP27" i="5"/>
  <c r="AP26" i="5"/>
  <c r="AP25" i="5"/>
  <c r="AP24" i="5"/>
  <c r="AP23" i="5"/>
  <c r="AP22" i="5"/>
  <c r="AP21" i="5"/>
  <c r="BF169" i="5" l="1"/>
  <c r="BE169" i="5"/>
  <c r="BD169" i="5"/>
  <c r="BC169" i="5"/>
  <c r="BB169" i="5"/>
  <c r="BA169" i="5"/>
  <c r="AZ169" i="5"/>
  <c r="AY169" i="5"/>
  <c r="AX169" i="5"/>
  <c r="AW169" i="5"/>
  <c r="BF161" i="5"/>
  <c r="BE161" i="5"/>
  <c r="BD161" i="5"/>
  <c r="BC161" i="5"/>
  <c r="BB161" i="5"/>
  <c r="BA161" i="5"/>
  <c r="AZ161" i="5"/>
  <c r="AY161" i="5"/>
  <c r="AX161" i="5"/>
  <c r="AW161" i="5"/>
  <c r="BF160" i="5"/>
  <c r="BE160" i="5"/>
  <c r="BD160" i="5"/>
  <c r="BC160" i="5"/>
  <c r="BB160" i="5"/>
  <c r="BA160" i="5"/>
  <c r="AZ160" i="5"/>
  <c r="AY160" i="5"/>
  <c r="AX160" i="5"/>
  <c r="AW160" i="5"/>
  <c r="BF153" i="5"/>
  <c r="BE153" i="5"/>
  <c r="BD153" i="5"/>
  <c r="BC153" i="5"/>
  <c r="BB153" i="5"/>
  <c r="BA153" i="5"/>
  <c r="AZ153" i="5"/>
  <c r="AY153" i="5"/>
  <c r="AX153" i="5"/>
  <c r="AW153" i="5"/>
  <c r="BF146" i="5"/>
  <c r="BE146" i="5"/>
  <c r="BD146" i="5"/>
  <c r="BC146" i="5"/>
  <c r="BB146" i="5"/>
  <c r="BA146" i="5"/>
  <c r="AZ146" i="5"/>
  <c r="AY146" i="5"/>
  <c r="AX146" i="5"/>
  <c r="AW146" i="5"/>
  <c r="BF141" i="5"/>
  <c r="BE141" i="5"/>
  <c r="BD141" i="5"/>
  <c r="BC141" i="5"/>
  <c r="BB141" i="5"/>
  <c r="BA141" i="5"/>
  <c r="AZ141" i="5"/>
  <c r="AY141" i="5"/>
  <c r="AX141" i="5"/>
  <c r="AW141" i="5"/>
  <c r="BF133" i="5"/>
  <c r="BE133" i="5"/>
  <c r="BD133" i="5"/>
  <c r="BC133" i="5"/>
  <c r="BB133" i="5"/>
  <c r="BA133" i="5"/>
  <c r="AZ133" i="5"/>
  <c r="AY133" i="5"/>
  <c r="AX133" i="5"/>
  <c r="AW133" i="5"/>
  <c r="BF124" i="5"/>
  <c r="BE124" i="5"/>
  <c r="BD124" i="5"/>
  <c r="BC124" i="5"/>
  <c r="BB124" i="5"/>
  <c r="BA124" i="5"/>
  <c r="AZ124" i="5"/>
  <c r="AY124" i="5"/>
  <c r="AX124" i="5"/>
  <c r="AW124" i="5"/>
  <c r="BF119" i="5"/>
  <c r="BE119" i="5"/>
  <c r="BD119" i="5"/>
  <c r="BC119" i="5"/>
  <c r="BB119" i="5"/>
  <c r="BA119" i="5"/>
  <c r="AZ119" i="5"/>
  <c r="AY119" i="5"/>
  <c r="AX119" i="5"/>
  <c r="AW119" i="5"/>
  <c r="BF118" i="5"/>
  <c r="BE118" i="5"/>
  <c r="BD118" i="5"/>
  <c r="BC118" i="5"/>
  <c r="BB118" i="5"/>
  <c r="BA118" i="5"/>
  <c r="AZ118" i="5"/>
  <c r="AY118" i="5"/>
  <c r="AX118" i="5"/>
  <c r="AW118" i="5"/>
  <c r="BF112" i="5"/>
  <c r="BE112" i="5"/>
  <c r="BD112" i="5"/>
  <c r="BC112" i="5"/>
  <c r="BB112" i="5"/>
  <c r="BA112" i="5"/>
  <c r="AZ112" i="5"/>
  <c r="AY112" i="5"/>
  <c r="AX112" i="5"/>
  <c r="AW112" i="5"/>
  <c r="BF111" i="5"/>
  <c r="BE111" i="5"/>
  <c r="BD111" i="5"/>
  <c r="BC111" i="5"/>
  <c r="BB111" i="5"/>
  <c r="BA111" i="5"/>
  <c r="AZ111" i="5"/>
  <c r="AY111" i="5"/>
  <c r="AX111" i="5"/>
  <c r="AW111" i="5"/>
  <c r="BF110" i="5"/>
  <c r="BE110" i="5"/>
  <c r="BD110" i="5"/>
  <c r="BC110" i="5"/>
  <c r="BB110" i="5"/>
  <c r="BA110" i="5"/>
  <c r="AZ110" i="5"/>
  <c r="AY110" i="5"/>
  <c r="AX110" i="5"/>
  <c r="AW110" i="5"/>
  <c r="BF97" i="5"/>
  <c r="BE97" i="5"/>
  <c r="BD97" i="5"/>
  <c r="BC97" i="5"/>
  <c r="BB97" i="5"/>
  <c r="BA97" i="5"/>
  <c r="AZ97" i="5"/>
  <c r="AY97" i="5"/>
  <c r="AX97" i="5"/>
  <c r="AW97" i="5"/>
  <c r="BF75" i="5"/>
  <c r="BE75" i="5"/>
  <c r="BD75" i="5"/>
  <c r="BC75" i="5"/>
  <c r="BB75" i="5"/>
  <c r="BA75" i="5"/>
  <c r="AZ75" i="5"/>
  <c r="AY75" i="5"/>
  <c r="AX75" i="5"/>
  <c r="BF62" i="5"/>
  <c r="BE62" i="5"/>
  <c r="BD62" i="5"/>
  <c r="BC62" i="5"/>
  <c r="BB62" i="5"/>
  <c r="BA62" i="5"/>
  <c r="AZ62" i="5"/>
  <c r="AY62" i="5"/>
  <c r="AX62" i="5"/>
  <c r="AW62" i="5"/>
  <c r="BF61" i="5"/>
  <c r="BE61" i="5"/>
  <c r="BD61" i="5"/>
  <c r="BC61" i="5"/>
  <c r="BB61" i="5"/>
  <c r="BA61" i="5"/>
  <c r="AZ61" i="5"/>
  <c r="AY61" i="5"/>
  <c r="AX61" i="5"/>
  <c r="AW61" i="5"/>
  <c r="BF47" i="5"/>
  <c r="BE47" i="5"/>
  <c r="BD47" i="5"/>
  <c r="BC47" i="5"/>
  <c r="BB47" i="5"/>
  <c r="BA47" i="5"/>
  <c r="AZ47" i="5"/>
  <c r="AY47" i="5"/>
  <c r="AX47" i="5"/>
  <c r="AW47" i="5"/>
  <c r="BF34" i="5"/>
  <c r="BE34" i="5"/>
  <c r="BD34" i="5"/>
  <c r="BC34" i="5"/>
  <c r="BB34" i="5"/>
  <c r="BA34" i="5"/>
  <c r="AZ34" i="5"/>
  <c r="AY34" i="5"/>
  <c r="AX34" i="5"/>
  <c r="AW34" i="5"/>
  <c r="BF20" i="5"/>
  <c r="BE20" i="5"/>
  <c r="BD20" i="5"/>
  <c r="BC20" i="5"/>
  <c r="BB20" i="5"/>
  <c r="BA20" i="5"/>
  <c r="AZ20" i="5"/>
  <c r="AY20" i="5"/>
  <c r="AX20" i="5"/>
  <c r="AW20" i="5"/>
  <c r="BF10" i="5"/>
  <c r="AX10" i="5"/>
  <c r="AY10" i="5"/>
  <c r="AZ10" i="5"/>
  <c r="BA10" i="5"/>
  <c r="BB10" i="5"/>
  <c r="BC10" i="5"/>
  <c r="BD10" i="5"/>
  <c r="BE10" i="5"/>
  <c r="AW10" i="5"/>
  <c r="AX6" i="5"/>
  <c r="AY6" i="5"/>
  <c r="AZ6" i="5"/>
  <c r="BA6" i="5"/>
  <c r="BB6" i="5"/>
  <c r="BC6" i="5"/>
  <c r="BD6" i="5"/>
  <c r="BE6" i="5"/>
  <c r="BF6" i="5"/>
  <c r="AW6" i="5"/>
  <c r="I53" i="20" l="1"/>
  <c r="I54" i="20"/>
  <c r="I55" i="20"/>
  <c r="I56" i="20"/>
  <c r="I52" i="20"/>
  <c r="F74" i="20" l="1"/>
  <c r="M12" i="20" l="1"/>
  <c r="I27" i="20" l="1"/>
  <c r="N112" i="20" l="1"/>
  <c r="M44" i="20"/>
  <c r="M25" i="20" s="1"/>
  <c r="M27" i="20" s="1"/>
  <c r="N25" i="20"/>
  <c r="C64" i="2"/>
  <c r="M14" i="20" s="1"/>
  <c r="I45" i="20"/>
  <c r="V42" i="20" l="1"/>
  <c r="I44" i="20"/>
  <c r="P9" i="5"/>
  <c r="V27" i="20" l="1"/>
  <c r="I31" i="20"/>
  <c r="I32" i="20" s="1"/>
  <c r="F88" i="11" s="1"/>
  <c r="I36" i="20"/>
  <c r="AA179" i="15" l="1"/>
  <c r="Z179" i="15"/>
  <c r="Y179" i="15"/>
  <c r="X179" i="15"/>
  <c r="W179" i="15"/>
  <c r="V179" i="15"/>
  <c r="U179" i="15"/>
  <c r="T179" i="15"/>
  <c r="AA178" i="15"/>
  <c r="Z178" i="15"/>
  <c r="Y178" i="15"/>
  <c r="X178" i="15"/>
  <c r="W178" i="15"/>
  <c r="V178" i="15"/>
  <c r="U178" i="15"/>
  <c r="T178" i="15"/>
  <c r="H57" i="20"/>
  <c r="K15" i="2" l="1"/>
  <c r="I177" i="15" s="1"/>
  <c r="E196" i="15"/>
  <c r="D196" i="15"/>
  <c r="F196" i="15"/>
  <c r="G196" i="15" l="1"/>
  <c r="H196" i="15" s="1"/>
  <c r="I196" i="15" s="1"/>
  <c r="G197" i="15"/>
  <c r="H197" i="15" s="1"/>
  <c r="I197" i="15" s="1"/>
  <c r="L110" i="20" s="1"/>
  <c r="I178" i="15"/>
  <c r="I195" i="15"/>
  <c r="I182" i="15"/>
  <c r="I186" i="15"/>
  <c r="I190" i="15"/>
  <c r="I194" i="15"/>
  <c r="I179" i="15"/>
  <c r="I183" i="15"/>
  <c r="I187" i="15"/>
  <c r="I191" i="15"/>
  <c r="I181" i="15"/>
  <c r="I185" i="15"/>
  <c r="I189" i="15"/>
  <c r="I193" i="15"/>
  <c r="I180" i="15"/>
  <c r="I184" i="15"/>
  <c r="I188" i="15"/>
  <c r="I192" i="15"/>
  <c r="E76" i="17" l="1"/>
  <c r="S55" i="5"/>
  <c r="M55" i="5" s="1"/>
  <c r="V55" i="5" s="1"/>
  <c r="T55" i="5"/>
  <c r="O55" i="5" s="1"/>
  <c r="S68" i="5"/>
  <c r="M68" i="5" s="1"/>
  <c r="T68" i="5"/>
  <c r="O68" i="5" s="1"/>
  <c r="S99" i="5"/>
  <c r="M99" i="5" s="1"/>
  <c r="K159" i="13"/>
  <c r="E75" i="17"/>
  <c r="H125" i="6"/>
  <c r="I121" i="6"/>
  <c r="H127" i="6"/>
  <c r="H126" i="6"/>
  <c r="S79" i="20"/>
  <c r="S80" i="20"/>
  <c r="S81" i="20"/>
  <c r="S82" i="20"/>
  <c r="S83" i="20"/>
  <c r="S84" i="20"/>
  <c r="S85" i="20"/>
  <c r="S86" i="20"/>
  <c r="S87" i="20"/>
  <c r="S88" i="20"/>
  <c r="S89" i="20"/>
  <c r="S90" i="20"/>
  <c r="S91" i="20"/>
  <c r="S92" i="20"/>
  <c r="S93" i="20"/>
  <c r="S78" i="20"/>
  <c r="X39" i="20"/>
  <c r="Y39" i="20" s="1"/>
  <c r="J124" i="5"/>
  <c r="R47" i="2"/>
  <c r="H78" i="20" s="1"/>
  <c r="R48" i="2"/>
  <c r="H79" i="20"/>
  <c r="R49" i="2"/>
  <c r="H80" i="20"/>
  <c r="R50" i="2"/>
  <c r="G154" i="15" s="1"/>
  <c r="H154" i="15" s="1"/>
  <c r="J81" i="20" s="1"/>
  <c r="R51" i="2"/>
  <c r="G155" i="15" s="1"/>
  <c r="H155" i="15" s="1"/>
  <c r="J82" i="20" s="1"/>
  <c r="R52" i="2"/>
  <c r="H83" i="20"/>
  <c r="R53" i="2"/>
  <c r="G157" i="15" s="1"/>
  <c r="H157" i="15" s="1"/>
  <c r="J84" i="20" s="1"/>
  <c r="H84" i="20"/>
  <c r="R54" i="2"/>
  <c r="H85" i="20"/>
  <c r="R55" i="2"/>
  <c r="H86" i="20"/>
  <c r="R56" i="2"/>
  <c r="G160" i="15" s="1"/>
  <c r="H160" i="15" s="1"/>
  <c r="J87" i="20" s="1"/>
  <c r="R57" i="2"/>
  <c r="G161" i="15" s="1"/>
  <c r="H161" i="15" s="1"/>
  <c r="J88" i="20" s="1"/>
  <c r="R58" i="2"/>
  <c r="G162" i="15" s="1"/>
  <c r="H162" i="15" s="1"/>
  <c r="J89" i="20" s="1"/>
  <c r="H89" i="20"/>
  <c r="R59" i="2"/>
  <c r="H90" i="20" s="1"/>
  <c r="R60" i="2"/>
  <c r="G164" i="15" s="1"/>
  <c r="H164" i="15" s="1"/>
  <c r="J91" i="20" s="1"/>
  <c r="H91" i="20"/>
  <c r="R61" i="2"/>
  <c r="H92" i="20"/>
  <c r="R62" i="2"/>
  <c r="H93" i="20"/>
  <c r="N98" i="20"/>
  <c r="M100" i="20"/>
  <c r="N100" i="20" s="1"/>
  <c r="G47" i="11"/>
  <c r="M101" i="20" s="1"/>
  <c r="L101" i="20"/>
  <c r="C49" i="2"/>
  <c r="J49" i="2" s="1"/>
  <c r="C47" i="2"/>
  <c r="J47" i="2" s="1"/>
  <c r="C54" i="2"/>
  <c r="J54" i="2"/>
  <c r="N54" i="2" s="1"/>
  <c r="J56" i="2"/>
  <c r="C57" i="2"/>
  <c r="J57" i="2" s="1"/>
  <c r="J60" i="2"/>
  <c r="J61" i="2"/>
  <c r="N61" i="2" s="1"/>
  <c r="O61" i="2" s="1"/>
  <c r="J62" i="2"/>
  <c r="N62" i="2" s="1"/>
  <c r="K25" i="11"/>
  <c r="J64" i="2"/>
  <c r="N48" i="2"/>
  <c r="O48" i="2" s="1"/>
  <c r="N50" i="2"/>
  <c r="N51" i="2"/>
  <c r="O51" i="2" s="1"/>
  <c r="N52" i="2"/>
  <c r="O52" i="2" s="1"/>
  <c r="N53" i="2"/>
  <c r="O53" i="2" s="1"/>
  <c r="N55" i="2"/>
  <c r="O55" i="2" s="1"/>
  <c r="N58" i="2"/>
  <c r="N59" i="2"/>
  <c r="O59" i="2" s="1"/>
  <c r="N63" i="2"/>
  <c r="O50" i="2"/>
  <c r="O58" i="2"/>
  <c r="AB39" i="20"/>
  <c r="AC39" i="20" s="1"/>
  <c r="M36" i="20"/>
  <c r="G12" i="20"/>
  <c r="V19" i="20"/>
  <c r="V22" i="20" s="1"/>
  <c r="AB49" i="20"/>
  <c r="AC49" i="20" s="1"/>
  <c r="V44" i="20"/>
  <c r="X49" i="20"/>
  <c r="Y49" i="20" s="1"/>
  <c r="M45" i="20"/>
  <c r="G65" i="11"/>
  <c r="D64" i="16"/>
  <c r="Q112" i="20"/>
  <c r="H121" i="6" s="1"/>
  <c r="O126" i="5"/>
  <c r="L126" i="18" s="1"/>
  <c r="M52" i="20"/>
  <c r="M53" i="20"/>
  <c r="M54" i="20"/>
  <c r="M55" i="20"/>
  <c r="M56" i="20"/>
  <c r="O125" i="5"/>
  <c r="L125" i="18" s="1"/>
  <c r="O122" i="5"/>
  <c r="L122" i="18"/>
  <c r="O123" i="5"/>
  <c r="L123" i="18"/>
  <c r="M122" i="5"/>
  <c r="M123" i="5"/>
  <c r="K123" i="18" s="1"/>
  <c r="O120" i="5"/>
  <c r="L120" i="18" s="1"/>
  <c r="AA5" i="20"/>
  <c r="J8" i="20" s="1"/>
  <c r="AB10" i="20"/>
  <c r="AC10" i="20" s="1"/>
  <c r="X10" i="20"/>
  <c r="Y10" i="20" s="1"/>
  <c r="G25" i="11"/>
  <c r="G29" i="11" s="1"/>
  <c r="S136" i="5"/>
  <c r="M136" i="5" s="1"/>
  <c r="S135" i="5"/>
  <c r="M135" i="5" s="1"/>
  <c r="S139" i="5"/>
  <c r="M139" i="5" s="1"/>
  <c r="S138" i="5"/>
  <c r="M138" i="5" s="1"/>
  <c r="S129" i="5"/>
  <c r="M129" i="5" s="1"/>
  <c r="V129" i="5" s="1"/>
  <c r="M130" i="5"/>
  <c r="V130" i="5" s="1"/>
  <c r="M131" i="5"/>
  <c r="V131" i="5" s="1"/>
  <c r="M132" i="5"/>
  <c r="V132" i="5" s="1"/>
  <c r="M128" i="5"/>
  <c r="K128" i="18" s="1"/>
  <c r="S127" i="5"/>
  <c r="M127" i="5" s="1"/>
  <c r="F37" i="11"/>
  <c r="F42" i="11" s="1"/>
  <c r="S120" i="5"/>
  <c r="M120" i="5" s="1"/>
  <c r="V120" i="5" s="1"/>
  <c r="K52" i="11"/>
  <c r="K51" i="11"/>
  <c r="K50" i="11"/>
  <c r="K49" i="11"/>
  <c r="K48" i="11"/>
  <c r="L64" i="2"/>
  <c r="K57" i="8" s="1"/>
  <c r="X48" i="20"/>
  <c r="Y48" i="20" s="1"/>
  <c r="X38" i="20"/>
  <c r="Y38" i="20" s="1"/>
  <c r="AB48" i="20"/>
  <c r="AC48" i="20" s="1"/>
  <c r="AB47" i="20"/>
  <c r="AC47" i="20" s="1"/>
  <c r="AB46" i="20"/>
  <c r="AC46" i="20"/>
  <c r="X47" i="20"/>
  <c r="Y47" i="20" s="1"/>
  <c r="X46" i="20"/>
  <c r="Y46" i="20" s="1"/>
  <c r="J10" i="20"/>
  <c r="I10" i="20"/>
  <c r="AB38" i="20"/>
  <c r="AC38" i="20" s="1"/>
  <c r="AB37" i="20"/>
  <c r="AC37" i="20" s="1"/>
  <c r="AB36" i="20"/>
  <c r="AC36" i="20" s="1"/>
  <c r="X37" i="20"/>
  <c r="Y37" i="20" s="1"/>
  <c r="X36" i="20"/>
  <c r="X27" i="20" s="1"/>
  <c r="AB24" i="20"/>
  <c r="AC24" i="20" s="1"/>
  <c r="AB21" i="20"/>
  <c r="AC21" i="20" s="1"/>
  <c r="AB23" i="20"/>
  <c r="AC23" i="20" s="1"/>
  <c r="AB22" i="20"/>
  <c r="AC22" i="20" s="1"/>
  <c r="AA12" i="20"/>
  <c r="R64" i="2"/>
  <c r="F257" i="14"/>
  <c r="F256" i="14"/>
  <c r="F255" i="14"/>
  <c r="F254" i="14"/>
  <c r="F253" i="14"/>
  <c r="R65" i="2"/>
  <c r="G152" i="15"/>
  <c r="H152" i="15" s="1"/>
  <c r="J79" i="20" s="1"/>
  <c r="G153" i="15"/>
  <c r="H153" i="15" s="1"/>
  <c r="J80" i="20" s="1"/>
  <c r="G156" i="15"/>
  <c r="H156" i="15" s="1"/>
  <c r="J83" i="20" s="1"/>
  <c r="G158" i="15"/>
  <c r="H158" i="15" s="1"/>
  <c r="J85" i="20" s="1"/>
  <c r="G159" i="15"/>
  <c r="H159" i="15" s="1"/>
  <c r="J86" i="20" s="1"/>
  <c r="G165" i="15"/>
  <c r="H165" i="15" s="1"/>
  <c r="J92" i="20" s="1"/>
  <c r="G166" i="15"/>
  <c r="H166" i="15" s="1"/>
  <c r="J93" i="20" s="1"/>
  <c r="G167" i="15"/>
  <c r="H167" i="15" s="1"/>
  <c r="D43" i="2"/>
  <c r="H168" i="15"/>
  <c r="H169" i="15"/>
  <c r="D83" i="3"/>
  <c r="D16" i="3" s="1"/>
  <c r="P7" i="3" s="1"/>
  <c r="D5" i="3" s="1"/>
  <c r="I95" i="15" s="1"/>
  <c r="I96" i="15" s="1"/>
  <c r="O167" i="15"/>
  <c r="P167" i="15"/>
  <c r="Q167" i="15"/>
  <c r="O149" i="15"/>
  <c r="I101" i="15"/>
  <c r="P149" i="15" s="1"/>
  <c r="O73" i="11"/>
  <c r="I67" i="15"/>
  <c r="J67" i="15"/>
  <c r="K67" i="15"/>
  <c r="L67" i="15"/>
  <c r="M67" i="15"/>
  <c r="N67" i="15"/>
  <c r="O67" i="15"/>
  <c r="P67" i="15"/>
  <c r="Q67" i="15"/>
  <c r="I70" i="15"/>
  <c r="J70" i="15"/>
  <c r="K70" i="15"/>
  <c r="L70" i="15"/>
  <c r="M70" i="15"/>
  <c r="N70" i="15"/>
  <c r="O70" i="15"/>
  <c r="P70" i="15"/>
  <c r="Q70" i="15"/>
  <c r="I73" i="15"/>
  <c r="J73" i="15"/>
  <c r="K73" i="15"/>
  <c r="O73" i="15"/>
  <c r="P73" i="15"/>
  <c r="Q73" i="15"/>
  <c r="O3" i="11"/>
  <c r="U3" i="11"/>
  <c r="F70" i="2"/>
  <c r="AE8" i="18" s="1"/>
  <c r="AB7" i="20"/>
  <c r="AB9" i="20"/>
  <c r="AC9" i="20"/>
  <c r="AB8" i="20"/>
  <c r="AC8" i="20" s="1"/>
  <c r="AC7" i="20"/>
  <c r="X8" i="20"/>
  <c r="Y8" i="20" s="1"/>
  <c r="X9" i="20"/>
  <c r="Y9" i="20" s="1"/>
  <c r="X7" i="20"/>
  <c r="Y7" i="20" s="1"/>
  <c r="I8" i="20"/>
  <c r="H6" i="20"/>
  <c r="F20" i="6"/>
  <c r="J109" i="6" s="1"/>
  <c r="T15" i="5"/>
  <c r="O15" i="5" s="1"/>
  <c r="L15" i="18" s="1"/>
  <c r="T16" i="5"/>
  <c r="O16" i="5" s="1"/>
  <c r="T17" i="5"/>
  <c r="O17" i="5"/>
  <c r="X17" i="5" s="1"/>
  <c r="T18" i="5"/>
  <c r="O18" i="5" s="1"/>
  <c r="O139" i="5"/>
  <c r="L139" i="18" s="1"/>
  <c r="O138" i="5"/>
  <c r="L138" i="18" s="1"/>
  <c r="O136" i="5"/>
  <c r="L136" i="18" s="1"/>
  <c r="O135" i="5"/>
  <c r="L135" i="18" s="1"/>
  <c r="K132" i="11"/>
  <c r="K131" i="11"/>
  <c r="K130" i="11"/>
  <c r="K129" i="11"/>
  <c r="K128" i="11"/>
  <c r="K162" i="11"/>
  <c r="K161" i="11"/>
  <c r="K160" i="11"/>
  <c r="K159" i="11"/>
  <c r="K158" i="11"/>
  <c r="N2" i="20"/>
  <c r="D88" i="3"/>
  <c r="F318" i="9"/>
  <c r="K299" i="9"/>
  <c r="G299" i="9"/>
  <c r="G286" i="9"/>
  <c r="G278" i="9"/>
  <c r="J286" i="9"/>
  <c r="J278" i="9" s="1"/>
  <c r="O7" i="3"/>
  <c r="C5" i="3" s="1"/>
  <c r="J95" i="15" s="1"/>
  <c r="F88" i="3"/>
  <c r="F83"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43" i="3"/>
  <c r="J43" i="3"/>
  <c r="I44" i="3"/>
  <c r="J44" i="3"/>
  <c r="D84" i="3"/>
  <c r="F84" i="3"/>
  <c r="D81" i="3"/>
  <c r="F81" i="3"/>
  <c r="D71" i="3"/>
  <c r="F71" i="3"/>
  <c r="D80" i="3"/>
  <c r="F80" i="3"/>
  <c r="D74" i="3"/>
  <c r="F74" i="3"/>
  <c r="D73" i="3"/>
  <c r="F73" i="3"/>
  <c r="D65" i="3"/>
  <c r="F65" i="3"/>
  <c r="D52" i="3"/>
  <c r="F52" i="3"/>
  <c r="D76" i="3"/>
  <c r="F76" i="3"/>
  <c r="D62" i="3"/>
  <c r="F62" i="3"/>
  <c r="D53" i="3"/>
  <c r="F53" i="3"/>
  <c r="D63" i="3"/>
  <c r="F63" i="3"/>
  <c r="D64" i="3"/>
  <c r="F64" i="3"/>
  <c r="D54" i="3"/>
  <c r="F54" i="3"/>
  <c r="D68" i="3"/>
  <c r="F68" i="3"/>
  <c r="D69" i="3"/>
  <c r="F69" i="3"/>
  <c r="D66" i="3"/>
  <c r="F66" i="3"/>
  <c r="D67" i="3"/>
  <c r="F67" i="3"/>
  <c r="D70" i="3"/>
  <c r="F70" i="3"/>
  <c r="D55" i="3"/>
  <c r="F55" i="3"/>
  <c r="D51" i="3"/>
  <c r="F51" i="3"/>
  <c r="D50" i="3"/>
  <c r="F50" i="3"/>
  <c r="D75" i="3"/>
  <c r="F75" i="3"/>
  <c r="D77" i="3"/>
  <c r="F77" i="3"/>
  <c r="D78" i="3"/>
  <c r="F78" i="3"/>
  <c r="D79" i="3"/>
  <c r="F79" i="3"/>
  <c r="D56" i="3"/>
  <c r="F56" i="3"/>
  <c r="D57" i="3"/>
  <c r="F57" i="3"/>
  <c r="D82" i="3"/>
  <c r="F82" i="3"/>
  <c r="D85" i="3"/>
  <c r="F85" i="3"/>
  <c r="D86" i="3"/>
  <c r="F86" i="3"/>
  <c r="D58" i="3"/>
  <c r="F58" i="3"/>
  <c r="D59" i="3"/>
  <c r="F59" i="3"/>
  <c r="D72" i="3"/>
  <c r="F72" i="3"/>
  <c r="D60" i="3"/>
  <c r="F60" i="3"/>
  <c r="D61" i="3"/>
  <c r="F61" i="3"/>
  <c r="F87" i="3"/>
  <c r="D87" i="3"/>
  <c r="S142" i="5"/>
  <c r="M142" i="5" s="1"/>
  <c r="V142" i="5" s="1"/>
  <c r="D24" i="3"/>
  <c r="H46" i="13"/>
  <c r="F29" i="13" s="1"/>
  <c r="Y124" i="5"/>
  <c r="P124" i="5" s="1"/>
  <c r="S40" i="5"/>
  <c r="M40" i="5" s="1"/>
  <c r="K40" i="18" s="1"/>
  <c r="T40" i="5"/>
  <c r="O40" i="5" s="1"/>
  <c r="T41" i="5"/>
  <c r="O41" i="5" s="1"/>
  <c r="L41" i="18" s="1"/>
  <c r="L42" i="18"/>
  <c r="M32" i="5"/>
  <c r="K32" i="18" s="1"/>
  <c r="N91" i="15"/>
  <c r="M91" i="15"/>
  <c r="L91" i="15"/>
  <c r="N88" i="15"/>
  <c r="M88" i="15"/>
  <c r="L88" i="15"/>
  <c r="N85" i="15"/>
  <c r="M85" i="15"/>
  <c r="L85" i="15"/>
  <c r="N82" i="15"/>
  <c r="M82" i="15"/>
  <c r="I108" i="6" s="1"/>
  <c r="L82" i="15"/>
  <c r="N79" i="15"/>
  <c r="M79" i="15"/>
  <c r="I107" i="6"/>
  <c r="L79" i="15"/>
  <c r="N76" i="15"/>
  <c r="M76" i="15"/>
  <c r="L76" i="15"/>
  <c r="O103" i="6"/>
  <c r="H90" i="6"/>
  <c r="O90" i="6" s="1"/>
  <c r="H87" i="6"/>
  <c r="I83" i="6"/>
  <c r="J80" i="6"/>
  <c r="J77" i="6"/>
  <c r="H74" i="6"/>
  <c r="O74" i="6" s="1"/>
  <c r="H71" i="6"/>
  <c r="O71" i="6" s="1"/>
  <c r="I68" i="6"/>
  <c r="J64" i="6"/>
  <c r="J61" i="6"/>
  <c r="I58" i="6"/>
  <c r="H55" i="6"/>
  <c r="O55" i="6" s="1"/>
  <c r="H53" i="6"/>
  <c r="O53" i="6" s="1"/>
  <c r="J50" i="6"/>
  <c r="H48" i="6"/>
  <c r="O48" i="6" s="1"/>
  <c r="J45" i="6"/>
  <c r="J43" i="6"/>
  <c r="H41" i="6"/>
  <c r="O41" i="6" s="1"/>
  <c r="J38" i="6"/>
  <c r="I33" i="6"/>
  <c r="J30" i="6"/>
  <c r="J28" i="6"/>
  <c r="I26" i="6"/>
  <c r="F21" i="6"/>
  <c r="H58" i="15" s="1"/>
  <c r="F22" i="6"/>
  <c r="H46" i="15"/>
  <c r="H40" i="15"/>
  <c r="H34" i="15"/>
  <c r="O13" i="6"/>
  <c r="H22" i="15"/>
  <c r="H16" i="15"/>
  <c r="H10" i="15"/>
  <c r="I24" i="2"/>
  <c r="L61" i="2"/>
  <c r="L62" i="2"/>
  <c r="I6" i="3"/>
  <c r="J6" i="3"/>
  <c r="I46" i="3"/>
  <c r="J46" i="3"/>
  <c r="D49" i="3"/>
  <c r="F49" i="3"/>
  <c r="K5" i="4"/>
  <c r="N5" i="4"/>
  <c r="D8" i="4"/>
  <c r="J8" i="4"/>
  <c r="D9" i="4"/>
  <c r="J9" i="4"/>
  <c r="D10" i="4"/>
  <c r="J10" i="4"/>
  <c r="H28" i="10"/>
  <c r="F7" i="10"/>
  <c r="D11" i="4"/>
  <c r="J11" i="4"/>
  <c r="J12" i="4"/>
  <c r="D13" i="4"/>
  <c r="F13" i="4"/>
  <c r="J13" i="4"/>
  <c r="E14" i="4"/>
  <c r="J14" i="4"/>
  <c r="E15" i="4"/>
  <c r="J15" i="4"/>
  <c r="J16" i="4"/>
  <c r="U35" i="4"/>
  <c r="U28" i="4"/>
  <c r="U31" i="4"/>
  <c r="Z32" i="4"/>
  <c r="Z33" i="4"/>
  <c r="Z40" i="4"/>
  <c r="C41" i="4"/>
  <c r="H41" i="4"/>
  <c r="L41" i="4"/>
  <c r="Z41" i="4"/>
  <c r="Z42" i="4"/>
  <c r="H50" i="10"/>
  <c r="F32" i="10" s="1"/>
  <c r="H83" i="10"/>
  <c r="F56" i="10" s="1"/>
  <c r="C52" i="4"/>
  <c r="H52" i="4"/>
  <c r="L52" i="4"/>
  <c r="S147" i="5"/>
  <c r="M147" i="5" s="1"/>
  <c r="B65" i="4"/>
  <c r="L65" i="4"/>
  <c r="B66" i="4"/>
  <c r="H66" i="4"/>
  <c r="L66" i="4"/>
  <c r="B67" i="4"/>
  <c r="H67" i="4"/>
  <c r="L67" i="4"/>
  <c r="B68" i="4"/>
  <c r="H68" i="4"/>
  <c r="L68" i="4"/>
  <c r="B69" i="4"/>
  <c r="H69" i="4"/>
  <c r="L69" i="4"/>
  <c r="N2" i="5"/>
  <c r="B3" i="5"/>
  <c r="N3" i="5"/>
  <c r="E5" i="5"/>
  <c r="AC8" i="18"/>
  <c r="AD8" i="18"/>
  <c r="AB8" i="5"/>
  <c r="AD8" i="5"/>
  <c r="S12" i="5"/>
  <c r="M12" i="5" s="1"/>
  <c r="T12" i="5"/>
  <c r="O12" i="5" s="1"/>
  <c r="S15" i="5"/>
  <c r="M15" i="5" s="1"/>
  <c r="X15" i="5"/>
  <c r="S16" i="5"/>
  <c r="M16" i="5" s="1"/>
  <c r="V16" i="5" s="1"/>
  <c r="S17" i="5"/>
  <c r="M17" i="5" s="1"/>
  <c r="V17" i="5" s="1"/>
  <c r="S18" i="5"/>
  <c r="M18" i="5" s="1"/>
  <c r="V18" i="5" s="1"/>
  <c r="S19" i="5"/>
  <c r="M19" i="5" s="1"/>
  <c r="T19" i="5"/>
  <c r="O19" i="5" s="1"/>
  <c r="X19" i="5" s="1"/>
  <c r="S22" i="5"/>
  <c r="M22" i="5" s="1"/>
  <c r="T22" i="5"/>
  <c r="O22" i="5" s="1"/>
  <c r="O23" i="5"/>
  <c r="L23" i="18" s="1"/>
  <c r="T24" i="5"/>
  <c r="O24" i="5" s="1"/>
  <c r="O25" i="5"/>
  <c r="L25" i="18" s="1"/>
  <c r="T26" i="5"/>
  <c r="O26" i="5" s="1"/>
  <c r="T27" i="5"/>
  <c r="O27" i="5" s="1"/>
  <c r="O28" i="5"/>
  <c r="L28" i="18" s="1"/>
  <c r="O29" i="5"/>
  <c r="L29" i="18" s="1"/>
  <c r="S23" i="5"/>
  <c r="M23" i="5" s="1"/>
  <c r="V23" i="5" s="1"/>
  <c r="S24" i="5"/>
  <c r="M24" i="5" s="1"/>
  <c r="V24" i="5" s="1"/>
  <c r="S25" i="5"/>
  <c r="M25" i="5" s="1"/>
  <c r="S26" i="5"/>
  <c r="M26" i="5" s="1"/>
  <c r="M27" i="5"/>
  <c r="K27" i="18" s="1"/>
  <c r="S28" i="5"/>
  <c r="M28" i="5" s="1"/>
  <c r="S29" i="5"/>
  <c r="M29" i="5" s="1"/>
  <c r="V29" i="5" s="1"/>
  <c r="S30" i="5"/>
  <c r="M30" i="5" s="1"/>
  <c r="V30" i="5" s="1"/>
  <c r="T30" i="5"/>
  <c r="O30" i="5" s="1"/>
  <c r="S31" i="5"/>
  <c r="M31" i="5" s="1"/>
  <c r="T31" i="5"/>
  <c r="O31" i="5" s="1"/>
  <c r="X31" i="5" s="1"/>
  <c r="O32" i="5"/>
  <c r="L32" i="18" s="1"/>
  <c r="O33" i="5"/>
  <c r="L33" i="18" s="1"/>
  <c r="M33" i="5"/>
  <c r="K33" i="18" s="1"/>
  <c r="S36" i="5"/>
  <c r="M36" i="5" s="1"/>
  <c r="K36" i="18" s="1"/>
  <c r="T36" i="5"/>
  <c r="O36" i="5" s="1"/>
  <c r="L36" i="18" s="1"/>
  <c r="T37" i="5"/>
  <c r="O37" i="5" s="1"/>
  <c r="L37" i="18" s="1"/>
  <c r="T38" i="5"/>
  <c r="O38" i="5" s="1"/>
  <c r="L38" i="18" s="1"/>
  <c r="V36" i="5"/>
  <c r="M37" i="5"/>
  <c r="X37" i="5"/>
  <c r="S38" i="5"/>
  <c r="M38" i="5" s="1"/>
  <c r="V38" i="5" s="1"/>
  <c r="S41" i="5"/>
  <c r="M41" i="5" s="1"/>
  <c r="V41" i="5" s="1"/>
  <c r="X41" i="5"/>
  <c r="S42" i="5"/>
  <c r="M42" i="5" s="1"/>
  <c r="X42" i="5"/>
  <c r="S43" i="5"/>
  <c r="M43" i="5" s="1"/>
  <c r="V43" i="5" s="1"/>
  <c r="T43" i="5"/>
  <c r="O43" i="5" s="1"/>
  <c r="M44" i="5"/>
  <c r="K44" i="18" s="1"/>
  <c r="O44" i="5"/>
  <c r="L44" i="18" s="1"/>
  <c r="M45" i="5"/>
  <c r="K45" i="18" s="1"/>
  <c r="O45" i="5"/>
  <c r="L45" i="18" s="1"/>
  <c r="S46" i="5"/>
  <c r="M46" i="5" s="1"/>
  <c r="V46" i="5" s="1"/>
  <c r="T46" i="5"/>
  <c r="O46" i="5" s="1"/>
  <c r="X46" i="5" s="1"/>
  <c r="S49" i="5"/>
  <c r="M49" i="5"/>
  <c r="K49" i="18" s="1"/>
  <c r="T49" i="5"/>
  <c r="O49" i="5" s="1"/>
  <c r="T50" i="5"/>
  <c r="O50" i="5" s="1"/>
  <c r="T51" i="5"/>
  <c r="O51" i="5" s="1"/>
  <c r="L51" i="18" s="1"/>
  <c r="T52" i="5"/>
  <c r="O52" i="5" s="1"/>
  <c r="S50" i="5"/>
  <c r="M50" i="5" s="1"/>
  <c r="S51" i="5"/>
  <c r="M51" i="5" s="1"/>
  <c r="V51" i="5" s="1"/>
  <c r="S52" i="5"/>
  <c r="M52" i="5" s="1"/>
  <c r="V52" i="5" s="1"/>
  <c r="S54" i="5"/>
  <c r="M54" i="5" s="1"/>
  <c r="T54" i="5"/>
  <c r="O54" i="5" s="1"/>
  <c r="T56" i="5"/>
  <c r="O56" i="5" s="1"/>
  <c r="T57" i="5"/>
  <c r="O57" i="5" s="1"/>
  <c r="S56" i="5"/>
  <c r="M56" i="5" s="1"/>
  <c r="S57" i="5"/>
  <c r="M57" i="5" s="1"/>
  <c r="K57" i="18" s="1"/>
  <c r="S59" i="5"/>
  <c r="M59" i="5" s="1"/>
  <c r="O59" i="5"/>
  <c r="L59" i="18" s="1"/>
  <c r="S60" i="5"/>
  <c r="M60" i="5" s="1"/>
  <c r="O60" i="5"/>
  <c r="L60" i="18" s="1"/>
  <c r="M61" i="5"/>
  <c r="O61" i="5"/>
  <c r="L61" i="18" s="1"/>
  <c r="P61" i="5"/>
  <c r="S64" i="5"/>
  <c r="M64" i="5" s="1"/>
  <c r="T64" i="5"/>
  <c r="O64" i="5" s="1"/>
  <c r="T65" i="5"/>
  <c r="O65" i="5" s="1"/>
  <c r="L65" i="18" s="1"/>
  <c r="S65" i="5"/>
  <c r="M65" i="5" s="1"/>
  <c r="S66" i="5"/>
  <c r="M66" i="5" s="1"/>
  <c r="V66" i="5" s="1"/>
  <c r="O66" i="5"/>
  <c r="L66" i="18" s="1"/>
  <c r="S69" i="5"/>
  <c r="M69" i="5" s="1"/>
  <c r="V69" i="5" s="1"/>
  <c r="O69" i="5"/>
  <c r="L69" i="18" s="1"/>
  <c r="O72" i="5"/>
  <c r="O73" i="5"/>
  <c r="O74" i="5"/>
  <c r="S77" i="5"/>
  <c r="M77" i="5" s="1"/>
  <c r="O77" i="5"/>
  <c r="L77" i="18" s="1"/>
  <c r="S78" i="5"/>
  <c r="M78" i="5" s="1"/>
  <c r="V78" i="5" s="1"/>
  <c r="O78" i="5"/>
  <c r="L78" i="18" s="1"/>
  <c r="S80" i="5"/>
  <c r="M80" i="5" s="1"/>
  <c r="V80" i="5" s="1"/>
  <c r="O80" i="5"/>
  <c r="L80" i="18" s="1"/>
  <c r="S81" i="5"/>
  <c r="M81" i="5" s="1"/>
  <c r="O81" i="5"/>
  <c r="L81" i="18" s="1"/>
  <c r="S82" i="5"/>
  <c r="M82" i="5" s="1"/>
  <c r="O82" i="5"/>
  <c r="L82" i="18" s="1"/>
  <c r="S83" i="5"/>
  <c r="M83" i="5" s="1"/>
  <c r="V83" i="5" s="1"/>
  <c r="O83" i="5"/>
  <c r="L83" i="18" s="1"/>
  <c r="S84" i="5"/>
  <c r="M84" i="5" s="1"/>
  <c r="V84" i="5" s="1"/>
  <c r="O84" i="5"/>
  <c r="S85" i="5"/>
  <c r="M85" i="5" s="1"/>
  <c r="V85" i="5" s="1"/>
  <c r="O85" i="5"/>
  <c r="L85" i="18" s="1"/>
  <c r="S87" i="5"/>
  <c r="M87" i="5" s="1"/>
  <c r="O87" i="5"/>
  <c r="S88" i="5"/>
  <c r="M88" i="5" s="1"/>
  <c r="V88" i="5" s="1"/>
  <c r="O88" i="5"/>
  <c r="S89" i="5"/>
  <c r="M89" i="5" s="1"/>
  <c r="O89" i="5"/>
  <c r="G260" i="9"/>
  <c r="I260" i="9"/>
  <c r="O91" i="5"/>
  <c r="O92" i="5"/>
  <c r="L88" i="18" s="1"/>
  <c r="O93" i="5"/>
  <c r="L93" i="18" s="1"/>
  <c r="S94" i="5"/>
  <c r="M94" i="5" s="1"/>
  <c r="O94" i="5"/>
  <c r="L94" i="18" s="1"/>
  <c r="S95" i="5"/>
  <c r="M95" i="5" s="1"/>
  <c r="V95" i="5" s="1"/>
  <c r="O95" i="5"/>
  <c r="L95" i="18" s="1"/>
  <c r="M96" i="5"/>
  <c r="W96" i="5"/>
  <c r="N96" i="5" s="1"/>
  <c r="O96" i="5"/>
  <c r="Y96" i="5"/>
  <c r="P96" i="5" s="1"/>
  <c r="AD96" i="5"/>
  <c r="T99" i="5"/>
  <c r="O99" i="5" s="1"/>
  <c r="T100" i="5"/>
  <c r="O100" i="5" s="1"/>
  <c r="S100" i="5"/>
  <c r="M100" i="5" s="1"/>
  <c r="V100" i="5" s="1"/>
  <c r="S101" i="5"/>
  <c r="M101" i="5" s="1"/>
  <c r="V101" i="5" s="1"/>
  <c r="T101" i="5"/>
  <c r="O101" i="5" s="1"/>
  <c r="S103" i="5"/>
  <c r="M103" i="5" s="1"/>
  <c r="V103" i="5" s="1"/>
  <c r="O103" i="5"/>
  <c r="L103" i="18" s="1"/>
  <c r="S104" i="5"/>
  <c r="M104" i="5" s="1"/>
  <c r="O104" i="5"/>
  <c r="L104" i="18" s="1"/>
  <c r="S105" i="5"/>
  <c r="M105" i="5" s="1"/>
  <c r="O105" i="5"/>
  <c r="L105" i="18" s="1"/>
  <c r="S106" i="5"/>
  <c r="M106" i="5" s="1"/>
  <c r="O106" i="5"/>
  <c r="L106" i="18" s="1"/>
  <c r="S107" i="5"/>
  <c r="M107" i="5" s="1"/>
  <c r="O107" i="5"/>
  <c r="L107" i="18" s="1"/>
  <c r="S108" i="5"/>
  <c r="M108" i="5" s="1"/>
  <c r="O108" i="5"/>
  <c r="L108" i="18" s="1"/>
  <c r="M109" i="5"/>
  <c r="O109" i="5"/>
  <c r="L109" i="18" s="1"/>
  <c r="P109" i="5"/>
  <c r="O110" i="5"/>
  <c r="L110" i="18" s="1"/>
  <c r="O111" i="5"/>
  <c r="L111" i="18" s="1"/>
  <c r="O113" i="5"/>
  <c r="L113" i="18" s="1"/>
  <c r="H110" i="10"/>
  <c r="F87" i="10"/>
  <c r="O114" i="5"/>
  <c r="L114" i="18" s="1"/>
  <c r="M115" i="5"/>
  <c r="W115" i="5"/>
  <c r="N115" i="5" s="1"/>
  <c r="O115" i="5"/>
  <c r="Y115" i="5"/>
  <c r="P115" i="5" s="1"/>
  <c r="AD115" i="5"/>
  <c r="M116" i="5"/>
  <c r="W116" i="5"/>
  <c r="N116" i="5" s="1"/>
  <c r="O116" i="5"/>
  <c r="P116" i="5"/>
  <c r="M117" i="5"/>
  <c r="O117" i="5"/>
  <c r="L117" i="18" s="1"/>
  <c r="P117" i="5"/>
  <c r="O118" i="5"/>
  <c r="L118" i="18" s="1"/>
  <c r="Y125" i="5"/>
  <c r="Y126" i="5"/>
  <c r="P126" i="5" s="1"/>
  <c r="O127" i="5"/>
  <c r="L127" i="18" s="1"/>
  <c r="O128" i="5"/>
  <c r="L128" i="18" s="1"/>
  <c r="O129" i="5"/>
  <c r="L129" i="18" s="1"/>
  <c r="O130" i="5"/>
  <c r="L130" i="18"/>
  <c r="O131" i="5"/>
  <c r="L131" i="18" s="1"/>
  <c r="W132" i="5"/>
  <c r="N132" i="5" s="1"/>
  <c r="O132" i="5"/>
  <c r="L132" i="18" s="1"/>
  <c r="Y132" i="5"/>
  <c r="P132" i="5" s="1"/>
  <c r="M140" i="5"/>
  <c r="O140" i="5"/>
  <c r="L140" i="18" s="1"/>
  <c r="P140" i="5"/>
  <c r="O142" i="5"/>
  <c r="L142" i="18" s="1"/>
  <c r="S144" i="5"/>
  <c r="M144" i="5" s="1"/>
  <c r="K144" i="18" s="1"/>
  <c r="O144" i="5"/>
  <c r="L144" i="18" s="1"/>
  <c r="S145" i="5"/>
  <c r="M145" i="5" s="1"/>
  <c r="O145" i="5"/>
  <c r="L145" i="18" s="1"/>
  <c r="O147" i="5"/>
  <c r="L147" i="18" s="1"/>
  <c r="S148" i="5"/>
  <c r="M148" i="5" s="1"/>
  <c r="O148" i="5"/>
  <c r="L148" i="18" s="1"/>
  <c r="H149" i="5"/>
  <c r="S149" i="5"/>
  <c r="M149" i="5" s="1"/>
  <c r="V149" i="5" s="1"/>
  <c r="O149" i="5"/>
  <c r="L149" i="18" s="1"/>
  <c r="H150" i="5"/>
  <c r="S150" i="5"/>
  <c r="M150" i="5" s="1"/>
  <c r="V150" i="5" s="1"/>
  <c r="O150" i="5"/>
  <c r="L150" i="18" s="1"/>
  <c r="S151" i="5"/>
  <c r="M151" i="5" s="1"/>
  <c r="V151" i="5" s="1"/>
  <c r="O151" i="5"/>
  <c r="L151" i="18" s="1"/>
  <c r="F153" i="13"/>
  <c r="O152" i="5"/>
  <c r="L152" i="18" s="1"/>
  <c r="K175" i="13"/>
  <c r="F169" i="13" s="1"/>
  <c r="F170" i="13" s="1"/>
  <c r="O154" i="5"/>
  <c r="L154" i="18" s="1"/>
  <c r="S156" i="5"/>
  <c r="M156" i="5" s="1"/>
  <c r="O156" i="5"/>
  <c r="L156" i="18" s="1"/>
  <c r="S157" i="5"/>
  <c r="M157" i="5" s="1"/>
  <c r="O157" i="5"/>
  <c r="L157" i="18" s="1"/>
  <c r="S158" i="5"/>
  <c r="M158" i="5" s="1"/>
  <c r="O158" i="5"/>
  <c r="L158" i="18" s="1"/>
  <c r="M159" i="5"/>
  <c r="O159" i="5"/>
  <c r="P159" i="5"/>
  <c r="O160" i="5"/>
  <c r="L160" i="18" s="1"/>
  <c r="S162" i="5"/>
  <c r="M162" i="5" s="1"/>
  <c r="V162" i="5" s="1"/>
  <c r="O162" i="5"/>
  <c r="L162" i="18" s="1"/>
  <c r="H58" i="14"/>
  <c r="F30" i="14" s="1"/>
  <c r="O163" i="5"/>
  <c r="L163" i="18" s="1"/>
  <c r="S165" i="5"/>
  <c r="M165" i="5" s="1"/>
  <c r="K165" i="18" s="1"/>
  <c r="O165" i="5"/>
  <c r="L165" i="18"/>
  <c r="S166" i="5"/>
  <c r="M166" i="5" s="1"/>
  <c r="V166" i="5" s="1"/>
  <c r="O166" i="5"/>
  <c r="L166" i="18" s="1"/>
  <c r="L179" i="18"/>
  <c r="L180" i="18"/>
  <c r="H97" i="14"/>
  <c r="F81" i="14" s="1"/>
  <c r="O167" i="5"/>
  <c r="L167" i="18" s="1"/>
  <c r="H116" i="14"/>
  <c r="F101" i="14"/>
  <c r="S168" i="5"/>
  <c r="M168" i="5" s="1"/>
  <c r="O168" i="5"/>
  <c r="L168" i="18" s="1"/>
  <c r="Y168" i="5"/>
  <c r="P168" i="5" s="1"/>
  <c r="AD168" i="5"/>
  <c r="S171" i="5"/>
  <c r="M171" i="5" s="1"/>
  <c r="O171" i="5"/>
  <c r="L171" i="18" s="1"/>
  <c r="S172" i="5"/>
  <c r="M172" i="5" s="1"/>
  <c r="O172" i="5"/>
  <c r="L172" i="18" s="1"/>
  <c r="S173" i="5"/>
  <c r="M173" i="5" s="1"/>
  <c r="O173" i="5"/>
  <c r="L173" i="18" s="1"/>
  <c r="L175" i="18"/>
  <c r="L176" i="18"/>
  <c r="L177" i="18"/>
  <c r="S175" i="5"/>
  <c r="M175" i="5" s="1"/>
  <c r="H218" i="14"/>
  <c r="F205" i="14" s="1"/>
  <c r="F207" i="14" s="1"/>
  <c r="S177" i="5"/>
  <c r="M177" i="5" s="1"/>
  <c r="V177" i="5" s="1"/>
  <c r="H248" i="14"/>
  <c r="F234" i="14" s="1"/>
  <c r="S180" i="5"/>
  <c r="M180" i="5" s="1"/>
  <c r="V180" i="5" s="1"/>
  <c r="B2" i="6"/>
  <c r="N2" i="6"/>
  <c r="B3" i="6"/>
  <c r="N3" i="6"/>
  <c r="N11" i="6"/>
  <c r="AA11" i="6"/>
  <c r="N12" i="6"/>
  <c r="N13" i="6"/>
  <c r="N14" i="6"/>
  <c r="N15" i="6"/>
  <c r="N16" i="6"/>
  <c r="N17" i="6"/>
  <c r="N18" i="6"/>
  <c r="E1" i="7"/>
  <c r="N1" i="8"/>
  <c r="O3" i="8"/>
  <c r="M156" i="8" s="1"/>
  <c r="U3" i="8"/>
  <c r="U4" i="8"/>
  <c r="U5" i="8"/>
  <c r="U6" i="8"/>
  <c r="F10" i="8"/>
  <c r="L10" i="8"/>
  <c r="F11" i="8"/>
  <c r="L11" i="8"/>
  <c r="F12" i="8"/>
  <c r="L12" i="8"/>
  <c r="F13" i="8"/>
  <c r="L13" i="8"/>
  <c r="F14" i="8"/>
  <c r="L14" i="8"/>
  <c r="F54" i="8"/>
  <c r="G54" i="8"/>
  <c r="G64" i="8"/>
  <c r="G57" i="8" s="1"/>
  <c r="F134" i="8"/>
  <c r="K134" i="8"/>
  <c r="F135" i="8"/>
  <c r="K135" i="8"/>
  <c r="F136" i="8"/>
  <c r="K136" i="8"/>
  <c r="F137" i="8"/>
  <c r="K137" i="8"/>
  <c r="F138" i="8"/>
  <c r="K138" i="8"/>
  <c r="F161" i="8"/>
  <c r="F162" i="8"/>
  <c r="F163" i="8"/>
  <c r="F164" i="8"/>
  <c r="F165" i="8"/>
  <c r="F186" i="8"/>
  <c r="F187" i="8"/>
  <c r="F188" i="8"/>
  <c r="F189" i="8"/>
  <c r="F190" i="8"/>
  <c r="F195" i="8"/>
  <c r="K195" i="8"/>
  <c r="F196" i="8"/>
  <c r="K196" i="8"/>
  <c r="F197" i="8"/>
  <c r="K197" i="8"/>
  <c r="F198" i="8"/>
  <c r="K198" i="8"/>
  <c r="F199" i="8"/>
  <c r="K199" i="8"/>
  <c r="F204" i="8"/>
  <c r="F205" i="8"/>
  <c r="F206" i="8"/>
  <c r="F207" i="8"/>
  <c r="F208" i="8"/>
  <c r="F213" i="8"/>
  <c r="K213" i="8"/>
  <c r="F214" i="8"/>
  <c r="K214" i="8"/>
  <c r="F215" i="8"/>
  <c r="K215" i="8"/>
  <c r="F216" i="8"/>
  <c r="K216" i="8"/>
  <c r="F217" i="8"/>
  <c r="K217" i="8"/>
  <c r="F256" i="8"/>
  <c r="K256" i="8"/>
  <c r="F257" i="8"/>
  <c r="K257" i="8"/>
  <c r="F258" i="8"/>
  <c r="K258" i="8"/>
  <c r="F259" i="8"/>
  <c r="K259" i="8"/>
  <c r="F260" i="8"/>
  <c r="K260" i="8"/>
  <c r="F267" i="8"/>
  <c r="K267" i="8"/>
  <c r="F268" i="8"/>
  <c r="K268" i="8"/>
  <c r="F269" i="8"/>
  <c r="K269" i="8"/>
  <c r="F270" i="8"/>
  <c r="K270" i="8"/>
  <c r="F271" i="8"/>
  <c r="K271" i="8"/>
  <c r="F276" i="8"/>
  <c r="F277" i="8"/>
  <c r="F278" i="8"/>
  <c r="F279" i="8"/>
  <c r="F280" i="8"/>
  <c r="F285" i="8"/>
  <c r="K285" i="8"/>
  <c r="F286" i="8"/>
  <c r="K286" i="8"/>
  <c r="F287" i="8"/>
  <c r="K287" i="8"/>
  <c r="F288" i="8"/>
  <c r="K288" i="8"/>
  <c r="F289" i="8"/>
  <c r="K289" i="8"/>
  <c r="F295" i="8"/>
  <c r="K295" i="8"/>
  <c r="F296" i="8"/>
  <c r="K296" i="8"/>
  <c r="F297" i="8"/>
  <c r="K297" i="8"/>
  <c r="F298" i="8"/>
  <c r="K298" i="8"/>
  <c r="F299" i="8"/>
  <c r="K299" i="8"/>
  <c r="F304" i="8"/>
  <c r="K304" i="8"/>
  <c r="F305" i="8"/>
  <c r="K305" i="8"/>
  <c r="F306" i="8"/>
  <c r="K306" i="8"/>
  <c r="F307" i="8"/>
  <c r="K307" i="8"/>
  <c r="F308" i="8"/>
  <c r="K308" i="8"/>
  <c r="F313" i="8"/>
  <c r="F314" i="8"/>
  <c r="F315" i="8"/>
  <c r="F316" i="8"/>
  <c r="F317" i="8"/>
  <c r="F327" i="8"/>
  <c r="M327" i="8"/>
  <c r="F328" i="8"/>
  <c r="M328" i="8"/>
  <c r="F329" i="8"/>
  <c r="M329" i="8"/>
  <c r="F330" i="8"/>
  <c r="M330" i="8"/>
  <c r="F331" i="8"/>
  <c r="M331" i="8"/>
  <c r="F336" i="8"/>
  <c r="K336" i="8"/>
  <c r="F337" i="8"/>
  <c r="K337" i="8"/>
  <c r="F338" i="8"/>
  <c r="K338" i="8"/>
  <c r="F339" i="8"/>
  <c r="K339" i="8"/>
  <c r="F340" i="8"/>
  <c r="K340" i="8"/>
  <c r="F363" i="8"/>
  <c r="K363" i="8"/>
  <c r="F364" i="8"/>
  <c r="K364" i="8"/>
  <c r="F365" i="8"/>
  <c r="K365" i="8"/>
  <c r="F366" i="8"/>
  <c r="K366" i="8"/>
  <c r="F367" i="8"/>
  <c r="K367" i="8"/>
  <c r="F372" i="8"/>
  <c r="K372" i="8"/>
  <c r="F373" i="8"/>
  <c r="K373" i="8"/>
  <c r="F374" i="8"/>
  <c r="K374" i="8"/>
  <c r="F375" i="8"/>
  <c r="K375" i="8"/>
  <c r="F376" i="8"/>
  <c r="K376" i="8"/>
  <c r="F381" i="8"/>
  <c r="K381" i="8"/>
  <c r="F382" i="8"/>
  <c r="K382" i="8"/>
  <c r="F383" i="8"/>
  <c r="K383" i="8"/>
  <c r="F384" i="8"/>
  <c r="K384" i="8"/>
  <c r="F385" i="8"/>
  <c r="K385" i="8"/>
  <c r="F390" i="8"/>
  <c r="K390" i="8"/>
  <c r="F391" i="8"/>
  <c r="K391" i="8"/>
  <c r="F392" i="8"/>
  <c r="K392" i="8"/>
  <c r="F393" i="8"/>
  <c r="K393" i="8"/>
  <c r="F394" i="8"/>
  <c r="K394" i="8"/>
  <c r="F400" i="8"/>
  <c r="K400" i="8"/>
  <c r="F401" i="8"/>
  <c r="K401" i="8"/>
  <c r="F402" i="8"/>
  <c r="K402" i="8"/>
  <c r="F403" i="8"/>
  <c r="K403" i="8"/>
  <c r="F404" i="8"/>
  <c r="K404" i="8"/>
  <c r="F409" i="8"/>
  <c r="K409" i="8"/>
  <c r="F410" i="8"/>
  <c r="K410" i="8"/>
  <c r="F411" i="8"/>
  <c r="K411" i="8"/>
  <c r="F412" i="8"/>
  <c r="K412" i="8"/>
  <c r="F413" i="8"/>
  <c r="K413" i="8"/>
  <c r="F418" i="8"/>
  <c r="K418" i="8"/>
  <c r="F419" i="8"/>
  <c r="K419" i="8"/>
  <c r="F420" i="8"/>
  <c r="K420" i="8"/>
  <c r="F421" i="8"/>
  <c r="K421" i="8"/>
  <c r="F422" i="8"/>
  <c r="K422" i="8"/>
  <c r="F427" i="8"/>
  <c r="K427" i="8"/>
  <c r="F428" i="8"/>
  <c r="K428" i="8"/>
  <c r="F429" i="8"/>
  <c r="K429" i="8"/>
  <c r="F430" i="8"/>
  <c r="K430" i="8"/>
  <c r="F431" i="8"/>
  <c r="K431" i="8"/>
  <c r="F437" i="8"/>
  <c r="K437" i="8"/>
  <c r="F438" i="8"/>
  <c r="K438" i="8"/>
  <c r="F439" i="8"/>
  <c r="K439" i="8"/>
  <c r="F440" i="8"/>
  <c r="K440" i="8"/>
  <c r="F441" i="8"/>
  <c r="K441" i="8"/>
  <c r="N1" i="9"/>
  <c r="O3" i="9"/>
  <c r="U3" i="9"/>
  <c r="U4" i="9"/>
  <c r="U5" i="9"/>
  <c r="U6" i="9"/>
  <c r="F10" i="9"/>
  <c r="K10" i="9"/>
  <c r="F11" i="9"/>
  <c r="K11" i="9"/>
  <c r="F12" i="9"/>
  <c r="K12" i="9"/>
  <c r="F13" i="9"/>
  <c r="K13" i="9"/>
  <c r="F14" i="9"/>
  <c r="K14" i="9"/>
  <c r="F19" i="9"/>
  <c r="K19" i="9"/>
  <c r="F20" i="9"/>
  <c r="K20" i="9"/>
  <c r="F21" i="9"/>
  <c r="K21" i="9"/>
  <c r="F22" i="9"/>
  <c r="K22" i="9"/>
  <c r="F23" i="9"/>
  <c r="K23" i="9"/>
  <c r="F38" i="9"/>
  <c r="M38" i="9"/>
  <c r="F39" i="9"/>
  <c r="M39" i="9"/>
  <c r="F40" i="9"/>
  <c r="M40" i="9"/>
  <c r="F41" i="9"/>
  <c r="M41" i="9"/>
  <c r="F42" i="9"/>
  <c r="M42" i="9"/>
  <c r="F47" i="9"/>
  <c r="F48" i="9"/>
  <c r="F49" i="9"/>
  <c r="F50" i="9"/>
  <c r="F51" i="9"/>
  <c r="F63" i="9"/>
  <c r="K63" i="9"/>
  <c r="F80" i="9"/>
  <c r="G93" i="9"/>
  <c r="G138" i="9"/>
  <c r="F124" i="9"/>
  <c r="F194" i="9"/>
  <c r="K194" i="9"/>
  <c r="F195" i="9"/>
  <c r="K195" i="9"/>
  <c r="F196" i="9"/>
  <c r="K196" i="9"/>
  <c r="F197" i="9"/>
  <c r="K197" i="9"/>
  <c r="F198" i="9"/>
  <c r="K198" i="9"/>
  <c r="F204" i="9"/>
  <c r="K204" i="9"/>
  <c r="F205" i="9"/>
  <c r="K205" i="9"/>
  <c r="F206" i="9"/>
  <c r="K206" i="9"/>
  <c r="F207" i="9"/>
  <c r="K207" i="9"/>
  <c r="F208" i="9"/>
  <c r="K208" i="9"/>
  <c r="F213" i="9"/>
  <c r="K213" i="9"/>
  <c r="F214" i="9"/>
  <c r="K214" i="9"/>
  <c r="F215" i="9"/>
  <c r="K215" i="9"/>
  <c r="F216" i="9"/>
  <c r="K216" i="9"/>
  <c r="F217" i="9"/>
  <c r="K217" i="9"/>
  <c r="F222" i="9"/>
  <c r="K222" i="9"/>
  <c r="F223" i="9"/>
  <c r="K223" i="9"/>
  <c r="F224" i="9"/>
  <c r="K224" i="9"/>
  <c r="F225" i="9"/>
  <c r="K225" i="9"/>
  <c r="F226" i="9"/>
  <c r="K226" i="9"/>
  <c r="K260" i="9"/>
  <c r="F310" i="9"/>
  <c r="F311" i="9"/>
  <c r="F312" i="9"/>
  <c r="F313" i="9"/>
  <c r="F314" i="9"/>
  <c r="F319" i="9"/>
  <c r="F320" i="9"/>
  <c r="F321" i="9"/>
  <c r="F322" i="9"/>
  <c r="F323" i="9"/>
  <c r="F339" i="9"/>
  <c r="K339" i="9"/>
  <c r="F340" i="9"/>
  <c r="K340" i="9"/>
  <c r="F341" i="9"/>
  <c r="K341" i="9"/>
  <c r="F342" i="9"/>
  <c r="K342" i="9"/>
  <c r="F343" i="9"/>
  <c r="K343" i="9"/>
  <c r="F348" i="9"/>
  <c r="K348" i="9"/>
  <c r="F349" i="9"/>
  <c r="K349" i="9"/>
  <c r="F350" i="9"/>
  <c r="K350" i="9"/>
  <c r="F351" i="9"/>
  <c r="K351" i="9"/>
  <c r="F352" i="9"/>
  <c r="K352" i="9"/>
  <c r="F359" i="9"/>
  <c r="M359" i="9"/>
  <c r="F360" i="9"/>
  <c r="M360" i="9"/>
  <c r="F361" i="9"/>
  <c r="M361" i="9"/>
  <c r="F362" i="9"/>
  <c r="M362" i="9"/>
  <c r="F363" i="9"/>
  <c r="M363" i="9"/>
  <c r="F369" i="9"/>
  <c r="K369" i="9"/>
  <c r="F370" i="9"/>
  <c r="K370" i="9"/>
  <c r="F371" i="9"/>
  <c r="K371" i="9"/>
  <c r="F372" i="9"/>
  <c r="K372" i="9"/>
  <c r="F373" i="9"/>
  <c r="K373" i="9"/>
  <c r="F378" i="9"/>
  <c r="K378" i="9"/>
  <c r="F379" i="9"/>
  <c r="K379" i="9"/>
  <c r="F380" i="9"/>
  <c r="K380" i="9"/>
  <c r="F381" i="9"/>
  <c r="K381" i="9"/>
  <c r="F382" i="9"/>
  <c r="K382" i="9"/>
  <c r="E387" i="9"/>
  <c r="F387" i="9"/>
  <c r="K387" i="9"/>
  <c r="F388" i="9"/>
  <c r="K388" i="9"/>
  <c r="F389" i="9"/>
  <c r="K389" i="9"/>
  <c r="F390" i="9"/>
  <c r="K390" i="9"/>
  <c r="F391" i="9"/>
  <c r="K391" i="9"/>
  <c r="N1" i="10"/>
  <c r="O3" i="10"/>
  <c r="U3" i="10"/>
  <c r="U4" i="10"/>
  <c r="U5" i="10"/>
  <c r="F61" i="10"/>
  <c r="F89" i="10"/>
  <c r="F90" i="10"/>
  <c r="N1" i="11"/>
  <c r="U4" i="11"/>
  <c r="U5" i="11"/>
  <c r="F10" i="11"/>
  <c r="F11" i="11"/>
  <c r="F12" i="11"/>
  <c r="F13" i="11"/>
  <c r="F14" i="11"/>
  <c r="F103" i="11"/>
  <c r="F104" i="11"/>
  <c r="F105" i="11"/>
  <c r="F106" i="11"/>
  <c r="F107" i="11"/>
  <c r="F114" i="11"/>
  <c r="F115" i="11"/>
  <c r="F116" i="11"/>
  <c r="F117" i="11"/>
  <c r="F118" i="11"/>
  <c r="F128" i="11"/>
  <c r="F129" i="11"/>
  <c r="F130" i="11"/>
  <c r="F131" i="11"/>
  <c r="F132" i="11"/>
  <c r="M1" i="13"/>
  <c r="O3" i="13"/>
  <c r="T3" i="13"/>
  <c r="T4" i="13"/>
  <c r="T5" i="13"/>
  <c r="F9" i="13"/>
  <c r="F10" i="13"/>
  <c r="F11" i="13"/>
  <c r="F12" i="13"/>
  <c r="F13" i="13"/>
  <c r="F19" i="13"/>
  <c r="K19" i="13"/>
  <c r="F20" i="13"/>
  <c r="K20" i="13"/>
  <c r="F21" i="13"/>
  <c r="K21" i="13"/>
  <c r="F22" i="13"/>
  <c r="K22" i="13"/>
  <c r="F23" i="13"/>
  <c r="K23" i="13"/>
  <c r="F30" i="13"/>
  <c r="M30" i="13"/>
  <c r="F31" i="13"/>
  <c r="M31" i="13"/>
  <c r="F32" i="13"/>
  <c r="M32" i="13"/>
  <c r="F33" i="13"/>
  <c r="M33" i="13"/>
  <c r="F34" i="13"/>
  <c r="M34" i="13"/>
  <c r="F52" i="13"/>
  <c r="F53" i="13"/>
  <c r="F54" i="13"/>
  <c r="F55" i="13"/>
  <c r="F56" i="13"/>
  <c r="F61" i="13"/>
  <c r="F62" i="13"/>
  <c r="F63" i="13"/>
  <c r="F64" i="13"/>
  <c r="F65" i="13"/>
  <c r="F86" i="13"/>
  <c r="F87" i="13"/>
  <c r="F88" i="13"/>
  <c r="F89" i="13"/>
  <c r="F90" i="13"/>
  <c r="F145" i="13"/>
  <c r="F146" i="13"/>
  <c r="F147" i="13"/>
  <c r="F148" i="13"/>
  <c r="F149" i="13"/>
  <c r="F156" i="13"/>
  <c r="F203" i="13"/>
  <c r="K203" i="13"/>
  <c r="F204" i="13"/>
  <c r="K204" i="13"/>
  <c r="F205" i="13"/>
  <c r="K205" i="13"/>
  <c r="F206" i="13"/>
  <c r="K206" i="13"/>
  <c r="F207" i="13"/>
  <c r="K207" i="13"/>
  <c r="F212" i="13"/>
  <c r="F213" i="13"/>
  <c r="F214" i="13"/>
  <c r="F215" i="13"/>
  <c r="F216" i="13"/>
  <c r="N1" i="14"/>
  <c r="O3" i="14"/>
  <c r="U3" i="14"/>
  <c r="U4" i="14"/>
  <c r="U5" i="14"/>
  <c r="F22" i="14"/>
  <c r="F23" i="14"/>
  <c r="F24" i="14"/>
  <c r="F25" i="14"/>
  <c r="F26" i="14"/>
  <c r="F64" i="14"/>
  <c r="F65" i="14"/>
  <c r="F66" i="14"/>
  <c r="F67" i="14"/>
  <c r="F68" i="14"/>
  <c r="F73" i="14"/>
  <c r="F74" i="14"/>
  <c r="F75" i="14"/>
  <c r="F76" i="14"/>
  <c r="F77" i="14"/>
  <c r="F103" i="14"/>
  <c r="F104" i="14"/>
  <c r="F105" i="14"/>
  <c r="F123" i="14"/>
  <c r="F124" i="14"/>
  <c r="F125" i="14"/>
  <c r="F126" i="14"/>
  <c r="F127" i="14"/>
  <c r="F159" i="14"/>
  <c r="F160" i="14"/>
  <c r="F161" i="14"/>
  <c r="F162" i="14"/>
  <c r="F163" i="14"/>
  <c r="F187" i="14"/>
  <c r="F188" i="14"/>
  <c r="F189" i="14"/>
  <c r="F190" i="14"/>
  <c r="F191" i="14"/>
  <c r="F197" i="14"/>
  <c r="F198" i="14"/>
  <c r="F199" i="14"/>
  <c r="F200" i="14"/>
  <c r="F201" i="14"/>
  <c r="F208" i="14"/>
  <c r="F224" i="14"/>
  <c r="F225" i="14"/>
  <c r="F226" i="14"/>
  <c r="F227" i="14"/>
  <c r="F228" i="14"/>
  <c r="F238" i="14"/>
  <c r="F239" i="14"/>
  <c r="G13" i="15"/>
  <c r="G19" i="15" s="1"/>
  <c r="G25" i="15" s="1"/>
  <c r="G31" i="15" s="1"/>
  <c r="G37" i="15" s="1"/>
  <c r="G43" i="15" s="1"/>
  <c r="G49" i="15" s="1"/>
  <c r="G55" i="15" s="1"/>
  <c r="G14" i="15"/>
  <c r="G15" i="15"/>
  <c r="G21" i="15" s="1"/>
  <c r="G16" i="15"/>
  <c r="G22" i="15" s="1"/>
  <c r="G28" i="15" s="1"/>
  <c r="G34" i="15" s="1"/>
  <c r="G40" i="15" s="1"/>
  <c r="G46" i="15" s="1"/>
  <c r="G52" i="15" s="1"/>
  <c r="G58" i="15" s="1"/>
  <c r="G17" i="15"/>
  <c r="G23" i="15" s="1"/>
  <c r="G29" i="15" s="1"/>
  <c r="G35" i="15" s="1"/>
  <c r="G41" i="15" s="1"/>
  <c r="G47" i="15" s="1"/>
  <c r="G53" i="15" s="1"/>
  <c r="G59" i="15" s="1"/>
  <c r="G18" i="15"/>
  <c r="G24" i="15" s="1"/>
  <c r="G30" i="15" s="1"/>
  <c r="G36" i="15" s="1"/>
  <c r="G42" i="15" s="1"/>
  <c r="G48" i="15" s="1"/>
  <c r="G54" i="15" s="1"/>
  <c r="G60" i="15" s="1"/>
  <c r="G20" i="15"/>
  <c r="G26" i="15" s="1"/>
  <c r="G32" i="15" s="1"/>
  <c r="G38" i="15" s="1"/>
  <c r="G44" i="15" s="1"/>
  <c r="G50" i="15" s="1"/>
  <c r="G56" i="15" s="1"/>
  <c r="G27" i="15"/>
  <c r="G33" i="15" s="1"/>
  <c r="G39" i="15" s="1"/>
  <c r="G45" i="15" s="1"/>
  <c r="G51" i="15" s="1"/>
  <c r="G57" i="15" s="1"/>
  <c r="I76" i="15"/>
  <c r="J76" i="15"/>
  <c r="K76" i="15"/>
  <c r="O76" i="15"/>
  <c r="P76" i="15"/>
  <c r="Q76" i="15"/>
  <c r="I79" i="15"/>
  <c r="J79" i="15"/>
  <c r="K79" i="15"/>
  <c r="O79" i="15"/>
  <c r="P79" i="15"/>
  <c r="Q79" i="15"/>
  <c r="I82" i="15"/>
  <c r="J82" i="15"/>
  <c r="K82" i="15"/>
  <c r="O82" i="15"/>
  <c r="P82" i="15"/>
  <c r="Q82" i="15"/>
  <c r="I85" i="15"/>
  <c r="J85" i="15"/>
  <c r="K85" i="15"/>
  <c r="O85" i="15"/>
  <c r="P85" i="15"/>
  <c r="Q85" i="15"/>
  <c r="I88" i="15"/>
  <c r="J88" i="15"/>
  <c r="K88" i="15"/>
  <c r="O88" i="15"/>
  <c r="P88" i="15"/>
  <c r="Q88" i="15"/>
  <c r="I91" i="15"/>
  <c r="J91" i="15"/>
  <c r="K91" i="15"/>
  <c r="O91" i="15"/>
  <c r="P91" i="15"/>
  <c r="Q91" i="15"/>
  <c r="F2" i="16"/>
  <c r="F3" i="16"/>
  <c r="D7" i="16"/>
  <c r="E7" i="16" s="1"/>
  <c r="D36" i="16"/>
  <c r="E36" i="16"/>
  <c r="D38" i="16"/>
  <c r="E38" i="16"/>
  <c r="D39" i="16"/>
  <c r="E39" i="16"/>
  <c r="D41" i="16"/>
  <c r="E41" i="16"/>
  <c r="D42" i="16"/>
  <c r="E42" i="16"/>
  <c r="D43" i="16"/>
  <c r="E43" i="16"/>
  <c r="F2" i="17"/>
  <c r="F3" i="17"/>
  <c r="D7" i="17"/>
  <c r="E7" i="17"/>
  <c r="L9" i="18"/>
  <c r="W8" i="18"/>
  <c r="X8" i="18"/>
  <c r="K37" i="18"/>
  <c r="H96" i="18"/>
  <c r="H115" i="18"/>
  <c r="L116" i="18"/>
  <c r="L159" i="18"/>
  <c r="CF127" i="18"/>
  <c r="CF128" i="18"/>
  <c r="CF129" i="18"/>
  <c r="CF130" i="18"/>
  <c r="CF131" i="18"/>
  <c r="CF132" i="18"/>
  <c r="CF133" i="18"/>
  <c r="CF134" i="18"/>
  <c r="BA160" i="18"/>
  <c r="BB160" i="18"/>
  <c r="BC160" i="18"/>
  <c r="BD160" i="18"/>
  <c r="BE160" i="18"/>
  <c r="BF160" i="18"/>
  <c r="BG160" i="18"/>
  <c r="BH160" i="18"/>
  <c r="BI160" i="18"/>
  <c r="BJ160" i="18"/>
  <c r="BR160" i="18"/>
  <c r="BS160" i="18"/>
  <c r="BT160" i="18"/>
  <c r="BU160" i="18"/>
  <c r="BV160" i="18"/>
  <c r="BW160" i="18"/>
  <c r="BX160" i="18"/>
  <c r="BY160" i="18"/>
  <c r="BZ160" i="18"/>
  <c r="CA160" i="18"/>
  <c r="BA161" i="18"/>
  <c r="BB161" i="18"/>
  <c r="BC161" i="18"/>
  <c r="BD161" i="18"/>
  <c r="BE161" i="18"/>
  <c r="BF161" i="18"/>
  <c r="BG161" i="18"/>
  <c r="BH161" i="18"/>
  <c r="BI161" i="18"/>
  <c r="BJ161" i="18"/>
  <c r="BR161" i="18"/>
  <c r="BS161" i="18"/>
  <c r="BT161" i="18"/>
  <c r="BU161" i="18"/>
  <c r="BV161" i="18"/>
  <c r="BW161" i="18"/>
  <c r="BX161" i="18"/>
  <c r="BY161" i="18"/>
  <c r="BZ161" i="18"/>
  <c r="CA161" i="18"/>
  <c r="BA169" i="18"/>
  <c r="BB169" i="18"/>
  <c r="BC169" i="18"/>
  <c r="BD169" i="18"/>
  <c r="BE169" i="18"/>
  <c r="BF169" i="18"/>
  <c r="BG169" i="18"/>
  <c r="BH169" i="18"/>
  <c r="BI169" i="18"/>
  <c r="BJ169" i="18"/>
  <c r="BR169" i="18"/>
  <c r="BS169" i="18"/>
  <c r="BT169" i="18"/>
  <c r="BU169" i="18"/>
  <c r="BV169" i="18"/>
  <c r="BW169" i="18"/>
  <c r="BX169" i="18"/>
  <c r="BY169" i="18"/>
  <c r="BZ169" i="18"/>
  <c r="CA169" i="18"/>
  <c r="N10" i="15" l="1"/>
  <c r="J10" i="15"/>
  <c r="P10" i="15"/>
  <c r="L10" i="15"/>
  <c r="O10" i="15"/>
  <c r="M10" i="15"/>
  <c r="K10" i="15"/>
  <c r="Q10" i="15"/>
  <c r="I10" i="15"/>
  <c r="P22" i="15"/>
  <c r="L22" i="15"/>
  <c r="O22" i="15"/>
  <c r="K22" i="15"/>
  <c r="N22" i="15"/>
  <c r="J22" i="15"/>
  <c r="Q22" i="15"/>
  <c r="M22" i="15"/>
  <c r="I22" i="15"/>
  <c r="Q40" i="15"/>
  <c r="M40" i="15"/>
  <c r="I40" i="15"/>
  <c r="P40" i="15"/>
  <c r="L40" i="15"/>
  <c r="O40" i="15"/>
  <c r="K40" i="15"/>
  <c r="N40" i="15"/>
  <c r="J40" i="15"/>
  <c r="N58" i="15"/>
  <c r="J58" i="15"/>
  <c r="Q58" i="15"/>
  <c r="M58" i="15"/>
  <c r="I58" i="15"/>
  <c r="P58" i="15"/>
  <c r="L58" i="15"/>
  <c r="O58" i="15"/>
  <c r="K58" i="15"/>
  <c r="P46" i="15"/>
  <c r="L46" i="15"/>
  <c r="O46" i="15"/>
  <c r="K46" i="15"/>
  <c r="N46" i="15"/>
  <c r="J46" i="15"/>
  <c r="Q46" i="15"/>
  <c r="M46" i="15"/>
  <c r="I46" i="15"/>
  <c r="Q16" i="15"/>
  <c r="M16" i="15"/>
  <c r="I16" i="15"/>
  <c r="O16" i="15"/>
  <c r="K16" i="15"/>
  <c r="J16" i="15"/>
  <c r="P16" i="15"/>
  <c r="N16" i="15"/>
  <c r="L16" i="15"/>
  <c r="N34" i="15"/>
  <c r="J34" i="15"/>
  <c r="Q34" i="15"/>
  <c r="M34" i="15"/>
  <c r="I34" i="15"/>
  <c r="P34" i="15"/>
  <c r="L34" i="15"/>
  <c r="O34" i="15"/>
  <c r="K34" i="15"/>
  <c r="J26" i="6"/>
  <c r="J31" i="6"/>
  <c r="H39" i="6"/>
  <c r="O39" i="6" s="1"/>
  <c r="H44" i="6"/>
  <c r="O44" i="6" s="1"/>
  <c r="I46" i="6"/>
  <c r="H51" i="6"/>
  <c r="O51" i="6" s="1"/>
  <c r="I56" i="6"/>
  <c r="H62" i="6"/>
  <c r="O62" i="6" s="1"/>
  <c r="J68" i="6"/>
  <c r="H78" i="6"/>
  <c r="O78" i="6" s="1"/>
  <c r="J84" i="6"/>
  <c r="J87" i="6"/>
  <c r="O104" i="6"/>
  <c r="J108" i="6"/>
  <c r="O14" i="6"/>
  <c r="O17" i="6"/>
  <c r="H28" i="6"/>
  <c r="I30" i="6"/>
  <c r="J32" i="6"/>
  <c r="I38" i="6"/>
  <c r="I40" i="6"/>
  <c r="J42" i="6"/>
  <c r="I45" i="6"/>
  <c r="J47" i="6"/>
  <c r="J49" i="6"/>
  <c r="I52" i="6"/>
  <c r="J54" i="6"/>
  <c r="J57" i="6"/>
  <c r="H61" i="6"/>
  <c r="J63" i="6"/>
  <c r="H67" i="6"/>
  <c r="O67" i="6" s="1"/>
  <c r="I70" i="6"/>
  <c r="J73" i="6"/>
  <c r="I76" i="6"/>
  <c r="J79" i="6"/>
  <c r="H83" i="6"/>
  <c r="O83" i="6" s="1"/>
  <c r="H86" i="6"/>
  <c r="O86" i="6" s="1"/>
  <c r="J89" i="6"/>
  <c r="I103" i="6"/>
  <c r="O105" i="6"/>
  <c r="I109" i="6"/>
  <c r="H111" i="6"/>
  <c r="H29" i="6"/>
  <c r="H34" i="6"/>
  <c r="J41" i="6"/>
  <c r="H49" i="6"/>
  <c r="O49" i="6" s="1"/>
  <c r="I53" i="6"/>
  <c r="I59" i="6"/>
  <c r="J65" i="6"/>
  <c r="J71" i="6"/>
  <c r="I75" i="6"/>
  <c r="H81" i="6"/>
  <c r="O81" i="6" s="1"/>
  <c r="I90" i="6"/>
  <c r="I106" i="6"/>
  <c r="J111" i="6"/>
  <c r="O15" i="6"/>
  <c r="I27" i="6"/>
  <c r="H30" i="6"/>
  <c r="H32" i="6"/>
  <c r="I34" i="6"/>
  <c r="H40" i="6"/>
  <c r="I42" i="6"/>
  <c r="I44" i="6"/>
  <c r="H47" i="6"/>
  <c r="O47" i="6" s="1"/>
  <c r="I49" i="6"/>
  <c r="J51" i="6"/>
  <c r="I54" i="6"/>
  <c r="J56" i="6"/>
  <c r="J59" i="6"/>
  <c r="I63" i="6"/>
  <c r="I66" i="6"/>
  <c r="H69" i="6"/>
  <c r="O69" i="6" s="1"/>
  <c r="J72" i="6"/>
  <c r="J75" i="6"/>
  <c r="H79" i="6"/>
  <c r="O79" i="6" s="1"/>
  <c r="I82" i="6"/>
  <c r="H85" i="6"/>
  <c r="O85" i="6" s="1"/>
  <c r="I88" i="6"/>
  <c r="J91" i="6"/>
  <c r="J105" i="6"/>
  <c r="J106" i="6"/>
  <c r="O109" i="6"/>
  <c r="O110" i="6"/>
  <c r="O111" i="6"/>
  <c r="K132" i="18"/>
  <c r="L74" i="18"/>
  <c r="K41" i="18"/>
  <c r="V123" i="5"/>
  <c r="K130" i="18"/>
  <c r="N60" i="2"/>
  <c r="O60" i="2" s="1"/>
  <c r="L73" i="18"/>
  <c r="K69" i="18"/>
  <c r="K17" i="18"/>
  <c r="K88" i="18"/>
  <c r="K150" i="18"/>
  <c r="L89" i="18"/>
  <c r="K84" i="18"/>
  <c r="K142" i="18"/>
  <c r="K83" i="18"/>
  <c r="L46" i="18"/>
  <c r="K30" i="18"/>
  <c r="K129" i="18"/>
  <c r="L68" i="18"/>
  <c r="X68" i="5"/>
  <c r="L100" i="18"/>
  <c r="X100" i="5"/>
  <c r="K16" i="18"/>
  <c r="K101" i="18"/>
  <c r="L19" i="18"/>
  <c r="K177" i="18"/>
  <c r="K100" i="18"/>
  <c r="K85" i="18"/>
  <c r="K18" i="18"/>
  <c r="K10" i="6"/>
  <c r="K14" i="6" s="1"/>
  <c r="K30" i="6" s="1"/>
  <c r="K168" i="18"/>
  <c r="V168" i="5"/>
  <c r="V56" i="5"/>
  <c r="K56" i="18"/>
  <c r="V31" i="5"/>
  <c r="K31" i="18"/>
  <c r="X64" i="5"/>
  <c r="L64" i="18"/>
  <c r="K151" i="18"/>
  <c r="K78" i="18"/>
  <c r="K66" i="18"/>
  <c r="K46" i="18"/>
  <c r="K38" i="18"/>
  <c r="K131" i="18"/>
  <c r="L17" i="18"/>
  <c r="V128" i="5"/>
  <c r="K149" i="18"/>
  <c r="K95" i="18"/>
  <c r="K55" i="18"/>
  <c r="K43" i="18"/>
  <c r="L31" i="18"/>
  <c r="K103" i="6"/>
  <c r="K111" i="6" s="1"/>
  <c r="V165" i="5"/>
  <c r="K103" i="18"/>
  <c r="L84" i="18"/>
  <c r="G151" i="15"/>
  <c r="H151" i="15" s="1"/>
  <c r="J78" i="20" s="1"/>
  <c r="Y36" i="20"/>
  <c r="Y27" i="20" s="1"/>
  <c r="X42" i="20"/>
  <c r="G163" i="15"/>
  <c r="H163" i="15" s="1"/>
  <c r="J90" i="20" s="1"/>
  <c r="H88" i="20"/>
  <c r="H82" i="20"/>
  <c r="H81" i="20"/>
  <c r="H87" i="20"/>
  <c r="V144" i="5"/>
  <c r="Y3" i="20"/>
  <c r="N56" i="2"/>
  <c r="O56" i="2" s="1"/>
  <c r="N52" i="20"/>
  <c r="N40" i="20" s="1"/>
  <c r="V21" i="20"/>
  <c r="W21" i="20"/>
  <c r="F72" i="8"/>
  <c r="K348" i="8"/>
  <c r="F160" i="11"/>
  <c r="O11" i="6"/>
  <c r="O12" i="6"/>
  <c r="H26" i="6"/>
  <c r="J27" i="6"/>
  <c r="I29" i="6"/>
  <c r="I31" i="6"/>
  <c r="H33" i="6"/>
  <c r="J34" i="6"/>
  <c r="J39" i="6"/>
  <c r="I41" i="6"/>
  <c r="H43" i="6"/>
  <c r="H45" i="6"/>
  <c r="O45" i="6" s="1"/>
  <c r="J46" i="6"/>
  <c r="I48" i="6"/>
  <c r="I50" i="6"/>
  <c r="H52" i="6"/>
  <c r="O52" i="6" s="1"/>
  <c r="J53" i="6"/>
  <c r="L53" i="6" s="1"/>
  <c r="J55" i="6"/>
  <c r="H58" i="6"/>
  <c r="O58" i="6" s="1"/>
  <c r="I60" i="6"/>
  <c r="H63" i="6"/>
  <c r="O63" i="6" s="1"/>
  <c r="H65" i="6"/>
  <c r="O65" i="6" s="1"/>
  <c r="I67" i="6"/>
  <c r="H70" i="6"/>
  <c r="O70" i="6" s="1"/>
  <c r="I72" i="6"/>
  <c r="I74" i="6"/>
  <c r="H77" i="6"/>
  <c r="O77" i="6" s="1"/>
  <c r="I79" i="6"/>
  <c r="J81" i="6"/>
  <c r="I84" i="6"/>
  <c r="I86" i="6"/>
  <c r="J88" i="6"/>
  <c r="I91" i="6"/>
  <c r="I104" i="6"/>
  <c r="H106" i="6"/>
  <c r="O106" i="6"/>
  <c r="J107" i="6"/>
  <c r="H109" i="6"/>
  <c r="I110" i="6"/>
  <c r="J104" i="6"/>
  <c r="V23" i="20"/>
  <c r="V24" i="20"/>
  <c r="V25" i="20" s="1"/>
  <c r="I19" i="20" s="1"/>
  <c r="Z19" i="20" s="1"/>
  <c r="E86" i="17"/>
  <c r="Y8" i="18"/>
  <c r="K52" i="18"/>
  <c r="K110" i="20"/>
  <c r="F39" i="11"/>
  <c r="K180" i="18"/>
  <c r="V127" i="5"/>
  <c r="K127" i="18"/>
  <c r="K136" i="18"/>
  <c r="V136" i="5"/>
  <c r="F159" i="11"/>
  <c r="N101" i="20"/>
  <c r="F41" i="11"/>
  <c r="F161" i="11"/>
  <c r="W23" i="20"/>
  <c r="W22" i="20"/>
  <c r="W24" i="20"/>
  <c r="G48" i="11"/>
  <c r="G52" i="11"/>
  <c r="G49" i="11"/>
  <c r="G50" i="11"/>
  <c r="G51" i="11"/>
  <c r="V57" i="5"/>
  <c r="X51" i="5"/>
  <c r="K51" i="18"/>
  <c r="V40" i="5"/>
  <c r="K29" i="18"/>
  <c r="K23" i="18"/>
  <c r="C63" i="2"/>
  <c r="C19" i="2" s="1"/>
  <c r="M45" i="8" s="1"/>
  <c r="F45" i="8" s="1"/>
  <c r="L91" i="18"/>
  <c r="L87" i="18"/>
  <c r="V59" i="5"/>
  <c r="K59" i="18"/>
  <c r="S113" i="5"/>
  <c r="M113" i="5" s="1"/>
  <c r="F58" i="10"/>
  <c r="F60" i="10"/>
  <c r="F57" i="10"/>
  <c r="H27" i="4"/>
  <c r="V36" i="4"/>
  <c r="H36" i="4"/>
  <c r="H17" i="15"/>
  <c r="H29" i="15"/>
  <c r="O40" i="6"/>
  <c r="O61" i="6"/>
  <c r="O87" i="6"/>
  <c r="V68" i="5"/>
  <c r="K68" i="18"/>
  <c r="F59" i="10"/>
  <c r="K99" i="18"/>
  <c r="V99" i="5"/>
  <c r="K22" i="18"/>
  <c r="V22" i="5"/>
  <c r="S111" i="5"/>
  <c r="M111" i="5" s="1"/>
  <c r="F35" i="10"/>
  <c r="F36" i="10"/>
  <c r="F34" i="10"/>
  <c r="F37" i="10"/>
  <c r="S110" i="5"/>
  <c r="M110" i="5" s="1"/>
  <c r="F11" i="10"/>
  <c r="F10" i="10"/>
  <c r="F12" i="10"/>
  <c r="F8" i="10"/>
  <c r="F33" i="10"/>
  <c r="K120" i="8"/>
  <c r="M147" i="8"/>
  <c r="K129" i="8"/>
  <c r="F81" i="8"/>
  <c r="F34" i="14"/>
  <c r="S163" i="5"/>
  <c r="M163" i="5" s="1"/>
  <c r="V163" i="5" s="1"/>
  <c r="F15" i="21" s="1"/>
  <c r="F32" i="14"/>
  <c r="F33" i="14"/>
  <c r="F31" i="14"/>
  <c r="F35" i="14"/>
  <c r="K145" i="18"/>
  <c r="V145" i="5"/>
  <c r="V64" i="5"/>
  <c r="K64" i="18"/>
  <c r="K166" i="18"/>
  <c r="F9" i="10"/>
  <c r="K162" i="18"/>
  <c r="K94" i="18"/>
  <c r="V94" i="5"/>
  <c r="V50" i="5"/>
  <c r="K50" i="18"/>
  <c r="X30" i="5"/>
  <c r="L30" i="18"/>
  <c r="V25" i="5"/>
  <c r="K25" i="18"/>
  <c r="V19" i="5"/>
  <c r="K19" i="18"/>
  <c r="K156" i="18"/>
  <c r="V156" i="5"/>
  <c r="V65" i="5"/>
  <c r="K65" i="18"/>
  <c r="K24" i="18"/>
  <c r="V173" i="5"/>
  <c r="K173" i="18"/>
  <c r="K54" i="18"/>
  <c r="V54" i="5"/>
  <c r="O43" i="6"/>
  <c r="X40" i="5"/>
  <c r="L40" i="18"/>
  <c r="V175" i="5"/>
  <c r="K175" i="18"/>
  <c r="F102" i="14"/>
  <c r="F106" i="14"/>
  <c r="V148" i="5"/>
  <c r="K148" i="18"/>
  <c r="S114" i="5"/>
  <c r="M114" i="5" s="1"/>
  <c r="V114" i="5" s="1"/>
  <c r="F88" i="10"/>
  <c r="F92" i="10"/>
  <c r="F91" i="10"/>
  <c r="G28" i="11"/>
  <c r="K122" i="18"/>
  <c r="V122" i="5"/>
  <c r="O63" i="2"/>
  <c r="F33" i="6"/>
  <c r="U33" i="6" s="1"/>
  <c r="N47" i="2"/>
  <c r="F26" i="6" s="1"/>
  <c r="G277" i="9"/>
  <c r="X52" i="5"/>
  <c r="L52" i="18"/>
  <c r="X24" i="5"/>
  <c r="L24" i="18"/>
  <c r="L57" i="18"/>
  <c r="X57" i="5"/>
  <c r="L66" i="2"/>
  <c r="O45" i="8" s="1"/>
  <c r="X44" i="20"/>
  <c r="Y44" i="20"/>
  <c r="O62" i="2"/>
  <c r="F32" i="6"/>
  <c r="I127" i="6"/>
  <c r="U32" i="4"/>
  <c r="V28" i="4"/>
  <c r="U33" i="4"/>
  <c r="F158" i="11"/>
  <c r="F162" i="11"/>
  <c r="K120" i="18"/>
  <c r="F40" i="11"/>
  <c r="F38" i="11"/>
  <c r="P3" i="18"/>
  <c r="Z160" i="18" s="1"/>
  <c r="G45" i="8"/>
  <c r="H52" i="15"/>
  <c r="H28" i="15"/>
  <c r="H110" i="6"/>
  <c r="O108" i="6"/>
  <c r="O107" i="6"/>
  <c r="I105" i="6"/>
  <c r="H104" i="6"/>
  <c r="H103" i="6"/>
  <c r="J90" i="6"/>
  <c r="I89" i="6"/>
  <c r="H88" i="6"/>
  <c r="J86" i="6"/>
  <c r="I85" i="6"/>
  <c r="H84" i="6"/>
  <c r="J82" i="6"/>
  <c r="I81" i="6"/>
  <c r="H80" i="6"/>
  <c r="J78" i="6"/>
  <c r="I77" i="6"/>
  <c r="H76" i="6"/>
  <c r="J74" i="6"/>
  <c r="I73" i="6"/>
  <c r="H72" i="6"/>
  <c r="J70" i="6"/>
  <c r="I69" i="6"/>
  <c r="H68" i="6"/>
  <c r="J66" i="6"/>
  <c r="I65" i="6"/>
  <c r="H64" i="6"/>
  <c r="J62" i="6"/>
  <c r="I61" i="6"/>
  <c r="L61" i="6" s="1"/>
  <c r="H60" i="6"/>
  <c r="J58" i="6"/>
  <c r="L58" i="6" s="1"/>
  <c r="I57" i="6"/>
  <c r="H56" i="6"/>
  <c r="I111" i="6"/>
  <c r="J110" i="6"/>
  <c r="H105" i="6"/>
  <c r="J103" i="6"/>
  <c r="H91" i="6"/>
  <c r="H89" i="6"/>
  <c r="I87" i="6"/>
  <c r="L87" i="6" s="1"/>
  <c r="J85" i="6"/>
  <c r="J83" i="6"/>
  <c r="H82" i="6"/>
  <c r="I80" i="6"/>
  <c r="I78" i="6"/>
  <c r="J76" i="6"/>
  <c r="H75" i="6"/>
  <c r="H73" i="6"/>
  <c r="I71" i="6"/>
  <c r="L71" i="6" s="1"/>
  <c r="J69" i="6"/>
  <c r="J67" i="6"/>
  <c r="H66" i="6"/>
  <c r="I64" i="6"/>
  <c r="I62" i="6"/>
  <c r="J60" i="6"/>
  <c r="H59" i="6"/>
  <c r="H57" i="6"/>
  <c r="I55" i="6"/>
  <c r="H54" i="6"/>
  <c r="J52" i="6"/>
  <c r="L52" i="6" s="1"/>
  <c r="I51" i="6"/>
  <c r="H50" i="6"/>
  <c r="J48" i="6"/>
  <c r="I47" i="6"/>
  <c r="H46" i="6"/>
  <c r="J44" i="6"/>
  <c r="L44" i="6" s="1"/>
  <c r="I43" i="6"/>
  <c r="L43" i="6" s="1"/>
  <c r="H42" i="6"/>
  <c r="J40" i="6"/>
  <c r="I39" i="6"/>
  <c r="H38" i="6"/>
  <c r="J33" i="6"/>
  <c r="I32" i="6"/>
  <c r="H31" i="6"/>
  <c r="J29" i="6"/>
  <c r="I28" i="6"/>
  <c r="H27" i="6"/>
  <c r="O18" i="6"/>
  <c r="O16" i="6"/>
  <c r="O10" i="6"/>
  <c r="X3" i="20"/>
  <c r="H108" i="6"/>
  <c r="K139" i="18"/>
  <c r="V139" i="5"/>
  <c r="H107" i="6"/>
  <c r="J50" i="3"/>
  <c r="K78" i="8"/>
  <c r="F91" i="8"/>
  <c r="K104" i="8"/>
  <c r="K113" i="8"/>
  <c r="F127" i="8"/>
  <c r="F147" i="8"/>
  <c r="F156" i="8"/>
  <c r="F173" i="8"/>
  <c r="F226" i="8"/>
  <c r="K240" i="8"/>
  <c r="K249" i="8"/>
  <c r="F346" i="8"/>
  <c r="F355" i="8"/>
  <c r="S152" i="5"/>
  <c r="M152" i="5" s="1"/>
  <c r="F154" i="13"/>
  <c r="F158" i="13"/>
  <c r="F157" i="13"/>
  <c r="F155" i="13"/>
  <c r="K77" i="18"/>
  <c r="V77" i="5"/>
  <c r="V82" i="5"/>
  <c r="K82" i="18"/>
  <c r="F243" i="8"/>
  <c r="K175" i="8"/>
  <c r="F107" i="8"/>
  <c r="X43" i="5"/>
  <c r="L43" i="18"/>
  <c r="F84" i="14"/>
  <c r="S167" i="5"/>
  <c r="M167" i="5" s="1"/>
  <c r="F83" i="14"/>
  <c r="F86" i="14"/>
  <c r="F82" i="14"/>
  <c r="F85" i="14"/>
  <c r="X54" i="5"/>
  <c r="L54" i="18"/>
  <c r="O54" i="2"/>
  <c r="F28" i="6"/>
  <c r="L55" i="18"/>
  <c r="X55" i="5"/>
  <c r="K229" i="8"/>
  <c r="K94" i="8"/>
  <c r="V87" i="5"/>
  <c r="K87" i="18"/>
  <c r="V15" i="5"/>
  <c r="K15" i="18"/>
  <c r="F71" i="8"/>
  <c r="F73" i="8"/>
  <c r="F75" i="8"/>
  <c r="F78" i="8"/>
  <c r="F80" i="8"/>
  <c r="K88" i="8"/>
  <c r="K90" i="8"/>
  <c r="K93" i="8"/>
  <c r="K95" i="8"/>
  <c r="K97" i="8"/>
  <c r="F104" i="8"/>
  <c r="F106" i="8"/>
  <c r="F109" i="8"/>
  <c r="F111" i="8"/>
  <c r="F113" i="8"/>
  <c r="K119" i="8"/>
  <c r="K121" i="8"/>
  <c r="K123" i="8"/>
  <c r="K126" i="8"/>
  <c r="K128" i="8"/>
  <c r="M146" i="8"/>
  <c r="M148" i="8"/>
  <c r="M150" i="8"/>
  <c r="M153" i="8"/>
  <c r="M155" i="8"/>
  <c r="K172" i="8"/>
  <c r="K174" i="8"/>
  <c r="K177" i="8"/>
  <c r="K179" i="8"/>
  <c r="K181" i="8"/>
  <c r="K223" i="8"/>
  <c r="K225" i="8"/>
  <c r="K227" i="8"/>
  <c r="K230" i="8"/>
  <c r="K232" i="8"/>
  <c r="F240" i="8"/>
  <c r="F242" i="8"/>
  <c r="F244" i="8"/>
  <c r="F247" i="8"/>
  <c r="F249" i="8"/>
  <c r="K347" i="8"/>
  <c r="K349" i="8"/>
  <c r="K352" i="8"/>
  <c r="K354" i="8"/>
  <c r="K356" i="8"/>
  <c r="K72" i="8"/>
  <c r="K74" i="8"/>
  <c r="K77" i="8"/>
  <c r="K79" i="8"/>
  <c r="K81" i="8"/>
  <c r="F88" i="8"/>
  <c r="F90" i="8"/>
  <c r="F93" i="8"/>
  <c r="F95" i="8"/>
  <c r="F97" i="8"/>
  <c r="K103" i="8"/>
  <c r="K105" i="8"/>
  <c r="K107" i="8"/>
  <c r="K110" i="8"/>
  <c r="K112" i="8"/>
  <c r="F119" i="8"/>
  <c r="F121" i="8"/>
  <c r="F123" i="8"/>
  <c r="F126" i="8"/>
  <c r="F128" i="8"/>
  <c r="F146" i="8"/>
  <c r="F148" i="8"/>
  <c r="F150" i="8"/>
  <c r="F153" i="8"/>
  <c r="F155" i="8"/>
  <c r="F172" i="8"/>
  <c r="F174" i="8"/>
  <c r="F177" i="8"/>
  <c r="F179" i="8"/>
  <c r="F181" i="8"/>
  <c r="F223" i="8"/>
  <c r="F225" i="8"/>
  <c r="F227" i="8"/>
  <c r="F230" i="8"/>
  <c r="F232" i="8"/>
  <c r="K241" i="8"/>
  <c r="K243" i="8"/>
  <c r="K246" i="8"/>
  <c r="K248" i="8"/>
  <c r="K250" i="8"/>
  <c r="F347" i="8"/>
  <c r="F349" i="8"/>
  <c r="F352" i="8"/>
  <c r="F354" i="8"/>
  <c r="F356" i="8"/>
  <c r="K71" i="8"/>
  <c r="K75" i="8"/>
  <c r="K80" i="8"/>
  <c r="F89" i="8"/>
  <c r="F94" i="8"/>
  <c r="K106" i="8"/>
  <c r="K111" i="8"/>
  <c r="F120" i="8"/>
  <c r="F125" i="8"/>
  <c r="F129" i="8"/>
  <c r="M149" i="8"/>
  <c r="M154" i="8"/>
  <c r="F171" i="8"/>
  <c r="F175" i="8"/>
  <c r="F180" i="8"/>
  <c r="F224" i="8"/>
  <c r="F229" i="8"/>
  <c r="F233" i="8"/>
  <c r="K242" i="8"/>
  <c r="K247" i="8"/>
  <c r="F348" i="8"/>
  <c r="F353" i="8"/>
  <c r="F74" i="8"/>
  <c r="F79" i="8"/>
  <c r="K87" i="8"/>
  <c r="K91" i="8"/>
  <c r="K96" i="8"/>
  <c r="F105" i="8"/>
  <c r="F110" i="8"/>
  <c r="K122" i="8"/>
  <c r="K127" i="8"/>
  <c r="F149" i="8"/>
  <c r="F154" i="8"/>
  <c r="K173" i="8"/>
  <c r="K178" i="8"/>
  <c r="K226" i="8"/>
  <c r="K231" i="8"/>
  <c r="F241" i="8"/>
  <c r="F246" i="8"/>
  <c r="F250" i="8"/>
  <c r="K346" i="8"/>
  <c r="K350" i="8"/>
  <c r="K355" i="8"/>
  <c r="V157" i="5"/>
  <c r="K157" i="18"/>
  <c r="F350" i="8"/>
  <c r="K244" i="8"/>
  <c r="F231" i="8"/>
  <c r="F178" i="8"/>
  <c r="F152" i="8"/>
  <c r="F122" i="8"/>
  <c r="K109" i="8"/>
  <c r="F96" i="8"/>
  <c r="F87" i="8"/>
  <c r="K73" i="8"/>
  <c r="F31" i="6"/>
  <c r="S179" i="5"/>
  <c r="M179" i="5" s="1"/>
  <c r="F237" i="14"/>
  <c r="F236" i="14"/>
  <c r="F235" i="14"/>
  <c r="K108" i="18"/>
  <c r="V108" i="5"/>
  <c r="K104" i="18"/>
  <c r="V104" i="5"/>
  <c r="X101" i="5"/>
  <c r="L101" i="18"/>
  <c r="V89" i="5"/>
  <c r="K89" i="18"/>
  <c r="V81" i="5"/>
  <c r="K81" i="18"/>
  <c r="V28" i="5"/>
  <c r="K28" i="18"/>
  <c r="V147" i="5"/>
  <c r="K147" i="18"/>
  <c r="S154" i="5"/>
  <c r="M154" i="5" s="1"/>
  <c r="F173" i="13"/>
  <c r="F172" i="13"/>
  <c r="F174" i="13"/>
  <c r="F171" i="13"/>
  <c r="K106" i="18"/>
  <c r="V106" i="5"/>
  <c r="K353" i="8"/>
  <c r="F248" i="8"/>
  <c r="K233" i="8"/>
  <c r="K224" i="8"/>
  <c r="K180" i="8"/>
  <c r="K171" i="8"/>
  <c r="M152" i="8"/>
  <c r="K125" i="8"/>
  <c r="F112" i="8"/>
  <c r="F103" i="8"/>
  <c r="K89" i="8"/>
  <c r="F77" i="8"/>
  <c r="V172" i="5"/>
  <c r="K172" i="18"/>
  <c r="V158" i="5"/>
  <c r="K158" i="18"/>
  <c r="X99" i="5"/>
  <c r="L99" i="18"/>
  <c r="L50" i="18"/>
  <c r="X50" i="5"/>
  <c r="V26" i="5"/>
  <c r="K26" i="18"/>
  <c r="L27" i="18"/>
  <c r="X27" i="5"/>
  <c r="S176" i="5"/>
  <c r="M176" i="5" s="1"/>
  <c r="F206" i="14"/>
  <c r="F210" i="14"/>
  <c r="F209" i="14"/>
  <c r="K171" i="18"/>
  <c r="V171" i="5"/>
  <c r="X49" i="5"/>
  <c r="L49" i="18"/>
  <c r="L22" i="18"/>
  <c r="X22" i="5"/>
  <c r="V30" i="4"/>
  <c r="V33" i="4"/>
  <c r="V31" i="4"/>
  <c r="V32" i="4"/>
  <c r="K107" i="18"/>
  <c r="V107" i="5"/>
  <c r="K105" i="18"/>
  <c r="V105" i="5"/>
  <c r="L92" i="18"/>
  <c r="K80" i="18"/>
  <c r="V60" i="5"/>
  <c r="K60" i="18"/>
  <c r="V42" i="5"/>
  <c r="K42" i="18"/>
  <c r="P125" i="5"/>
  <c r="X124" i="5"/>
  <c r="L56" i="18"/>
  <c r="X56" i="5"/>
  <c r="K12" i="18"/>
  <c r="V12" i="5"/>
  <c r="AB3" i="20"/>
  <c r="AC3" i="20"/>
  <c r="X65" i="5"/>
  <c r="V49" i="5"/>
  <c r="X38" i="5"/>
  <c r="X36" i="5"/>
  <c r="L26" i="18"/>
  <c r="X26" i="5"/>
  <c r="H59" i="15"/>
  <c r="H47" i="15"/>
  <c r="H35" i="15"/>
  <c r="H23" i="15"/>
  <c r="H11" i="15"/>
  <c r="H41" i="15"/>
  <c r="H53" i="15"/>
  <c r="X18" i="5"/>
  <c r="L18" i="18"/>
  <c r="K138" i="18"/>
  <c r="V138" i="5"/>
  <c r="W28" i="4"/>
  <c r="X28" i="4"/>
  <c r="Y28" i="4"/>
  <c r="U30" i="4"/>
  <c r="Z44" i="20"/>
  <c r="X12" i="5"/>
  <c r="L12" i="18"/>
  <c r="X16" i="5"/>
  <c r="L16" i="18"/>
  <c r="K135" i="18"/>
  <c r="V135" i="5"/>
  <c r="E81" i="17"/>
  <c r="D63" i="16"/>
  <c r="N149" i="15"/>
  <c r="N167" i="15"/>
  <c r="W121" i="18"/>
  <c r="W134" i="18"/>
  <c r="S122" i="18"/>
  <c r="AE22" i="18"/>
  <c r="E82" i="17"/>
  <c r="N64" i="2"/>
  <c r="O64" i="2" s="1"/>
  <c r="J277" i="9"/>
  <c r="N49" i="2"/>
  <c r="N57" i="2"/>
  <c r="E77" i="17"/>
  <c r="G26" i="11"/>
  <c r="G27" i="11"/>
  <c r="G30" i="11"/>
  <c r="J66" i="2"/>
  <c r="R170" i="15" l="1"/>
  <c r="R169" i="15"/>
  <c r="J121" i="6" s="1"/>
  <c r="J127" i="6" s="1"/>
  <c r="F34" i="6"/>
  <c r="K54" i="2"/>
  <c r="F12" i="6" s="1"/>
  <c r="F50" i="6" s="1"/>
  <c r="M168" i="9"/>
  <c r="P41" i="15"/>
  <c r="L41" i="15"/>
  <c r="O41" i="15"/>
  <c r="O42" i="15" s="1"/>
  <c r="K41" i="15"/>
  <c r="K42" i="15" s="1"/>
  <c r="N41" i="15"/>
  <c r="N42" i="15" s="1"/>
  <c r="J15" i="6" s="1"/>
  <c r="J41" i="15"/>
  <c r="J42" i="15" s="1"/>
  <c r="Q41" i="15"/>
  <c r="M41" i="15"/>
  <c r="M42" i="15" s="1"/>
  <c r="I15" i="6" s="1"/>
  <c r="I41" i="15"/>
  <c r="I42" i="15" s="1"/>
  <c r="N29" i="15"/>
  <c r="J29" i="15"/>
  <c r="Q29" i="15"/>
  <c r="M29" i="15"/>
  <c r="I29" i="15"/>
  <c r="P29" i="15"/>
  <c r="L29" i="15"/>
  <c r="O29" i="15"/>
  <c r="K29" i="15"/>
  <c r="Q11" i="15"/>
  <c r="Q12" i="15" s="1"/>
  <c r="M11" i="15"/>
  <c r="I11" i="15"/>
  <c r="I12" i="15" s="1"/>
  <c r="O11" i="15"/>
  <c r="K11" i="15"/>
  <c r="K12" i="15" s="1"/>
  <c r="N11" i="15"/>
  <c r="N12" i="15" s="1"/>
  <c r="J10" i="6" s="1"/>
  <c r="L11" i="15"/>
  <c r="L12" i="15" s="1"/>
  <c r="H10" i="6" s="1"/>
  <c r="L10" i="6" s="1"/>
  <c r="P11" i="15"/>
  <c r="J11" i="15"/>
  <c r="J12" i="15" s="1"/>
  <c r="Q59" i="15"/>
  <c r="Q60" i="15" s="1"/>
  <c r="M59" i="15"/>
  <c r="M60" i="15" s="1"/>
  <c r="I18" i="6" s="1"/>
  <c r="I59" i="15"/>
  <c r="I60" i="15" s="1"/>
  <c r="P59" i="15"/>
  <c r="P60" i="15" s="1"/>
  <c r="L59" i="15"/>
  <c r="L60" i="15" s="1"/>
  <c r="H18" i="6" s="1"/>
  <c r="O59" i="15"/>
  <c r="O60" i="15" s="1"/>
  <c r="K59" i="15"/>
  <c r="K60" i="15" s="1"/>
  <c r="N59" i="15"/>
  <c r="N60" i="15" s="1"/>
  <c r="J18" i="6" s="1"/>
  <c r="J59" i="15"/>
  <c r="J60" i="15" s="1"/>
  <c r="L47" i="6"/>
  <c r="O28" i="15"/>
  <c r="K28" i="15"/>
  <c r="K30" i="15" s="1"/>
  <c r="N28" i="15"/>
  <c r="J28" i="15"/>
  <c r="Q28" i="15"/>
  <c r="M28" i="15"/>
  <c r="M30" i="15" s="1"/>
  <c r="I13" i="6" s="1"/>
  <c r="I28" i="15"/>
  <c r="I30" i="15" s="1"/>
  <c r="P28" i="15"/>
  <c r="P30" i="15" s="1"/>
  <c r="L28" i="15"/>
  <c r="P17" i="15"/>
  <c r="P18" i="15" s="1"/>
  <c r="L17" i="15"/>
  <c r="N17" i="15"/>
  <c r="N18" i="15" s="1"/>
  <c r="J11" i="6" s="1"/>
  <c r="J17" i="15"/>
  <c r="J18" i="15" s="1"/>
  <c r="Q17" i="15"/>
  <c r="Q18" i="15" s="1"/>
  <c r="I17" i="15"/>
  <c r="I18" i="15" s="1"/>
  <c r="O17" i="15"/>
  <c r="K17" i="15"/>
  <c r="M17" i="15"/>
  <c r="M18" i="15" s="1"/>
  <c r="I11" i="6" s="1"/>
  <c r="L79" i="6"/>
  <c r="L63" i="6"/>
  <c r="L42" i="15"/>
  <c r="H15" i="6" s="1"/>
  <c r="Q42" i="15"/>
  <c r="P12" i="15"/>
  <c r="O23" i="15"/>
  <c r="O24" i="15" s="1"/>
  <c r="K23" i="15"/>
  <c r="K24" i="15" s="1"/>
  <c r="N23" i="15"/>
  <c r="N24" i="15" s="1"/>
  <c r="J12" i="6" s="1"/>
  <c r="J23" i="15"/>
  <c r="J24" i="15" s="1"/>
  <c r="Q23" i="15"/>
  <c r="Q24" i="15" s="1"/>
  <c r="M23" i="15"/>
  <c r="M24" i="15" s="1"/>
  <c r="I12" i="6" s="1"/>
  <c r="I23" i="15"/>
  <c r="I24" i="15" s="1"/>
  <c r="L23" i="15"/>
  <c r="L24" i="15" s="1"/>
  <c r="H12" i="6" s="1"/>
  <c r="P23" i="15"/>
  <c r="O52" i="15"/>
  <c r="K52" i="15"/>
  <c r="N52" i="15"/>
  <c r="J52" i="15"/>
  <c r="Q52" i="15"/>
  <c r="M52" i="15"/>
  <c r="I52" i="15"/>
  <c r="I54" i="15" s="1"/>
  <c r="P52" i="15"/>
  <c r="L52" i="15"/>
  <c r="L49" i="6"/>
  <c r="L18" i="15"/>
  <c r="H11" i="6" s="1"/>
  <c r="K18" i="15"/>
  <c r="P42" i="15"/>
  <c r="P24" i="15"/>
  <c r="M12" i="15"/>
  <c r="I10" i="6" s="1"/>
  <c r="O47" i="15"/>
  <c r="O48" i="15" s="1"/>
  <c r="K47" i="15"/>
  <c r="K48" i="15" s="1"/>
  <c r="N47" i="15"/>
  <c r="N48" i="15" s="1"/>
  <c r="J16" i="6" s="1"/>
  <c r="J47" i="15"/>
  <c r="J48" i="15" s="1"/>
  <c r="Q47" i="15"/>
  <c r="Q48" i="15" s="1"/>
  <c r="M47" i="15"/>
  <c r="M48" i="15" s="1"/>
  <c r="I16" i="6" s="1"/>
  <c r="I47" i="15"/>
  <c r="I48" i="15" s="1"/>
  <c r="P47" i="15"/>
  <c r="P48" i="15" s="1"/>
  <c r="L47" i="15"/>
  <c r="L48" i="15" s="1"/>
  <c r="H16" i="6" s="1"/>
  <c r="N53" i="15"/>
  <c r="J53" i="15"/>
  <c r="J54" i="15" s="1"/>
  <c r="Q53" i="15"/>
  <c r="M53" i="15"/>
  <c r="I53" i="15"/>
  <c r="P53" i="15"/>
  <c r="L53" i="15"/>
  <c r="O53" i="15"/>
  <c r="K53" i="15"/>
  <c r="Q35" i="15"/>
  <c r="Q36" i="15" s="1"/>
  <c r="M35" i="15"/>
  <c r="M36" i="15" s="1"/>
  <c r="I14" i="6" s="1"/>
  <c r="I35" i="15"/>
  <c r="I36" i="15" s="1"/>
  <c r="P35" i="15"/>
  <c r="P36" i="15" s="1"/>
  <c r="L35" i="15"/>
  <c r="L36" i="15" s="1"/>
  <c r="H14" i="6" s="1"/>
  <c r="L14" i="6" s="1"/>
  <c r="O35" i="15"/>
  <c r="O36" i="15" s="1"/>
  <c r="K35" i="15"/>
  <c r="K36" i="15" s="1"/>
  <c r="N35" i="15"/>
  <c r="N36" i="15" s="1"/>
  <c r="J14" i="6" s="1"/>
  <c r="J35" i="15"/>
  <c r="J36" i="15" s="1"/>
  <c r="L83" i="6"/>
  <c r="O18" i="15"/>
  <c r="O12" i="15"/>
  <c r="L90" i="6"/>
  <c r="L86" i="6"/>
  <c r="L45" i="6"/>
  <c r="L41" i="6"/>
  <c r="L111" i="6"/>
  <c r="L67" i="6"/>
  <c r="L40" i="6"/>
  <c r="L51" i="6"/>
  <c r="L77" i="6"/>
  <c r="K110" i="6"/>
  <c r="L110" i="6" s="1"/>
  <c r="K12" i="6"/>
  <c r="K13" i="6"/>
  <c r="K18" i="6"/>
  <c r="K11" i="6"/>
  <c r="K27" i="6" s="1"/>
  <c r="K26" i="6"/>
  <c r="K17" i="6"/>
  <c r="K15" i="6"/>
  <c r="K31" i="6" s="1"/>
  <c r="K114" i="18"/>
  <c r="K163" i="18"/>
  <c r="K105" i="6"/>
  <c r="L105" i="6" s="1"/>
  <c r="K106" i="6"/>
  <c r="L106" i="6" s="1"/>
  <c r="K104" i="6"/>
  <c r="L104" i="6" s="1"/>
  <c r="K16" i="6"/>
  <c r="K107" i="6"/>
  <c r="L107" i="6" s="1"/>
  <c r="K108" i="6"/>
  <c r="L108" i="6" s="1"/>
  <c r="K109" i="6"/>
  <c r="L109" i="6" s="1"/>
  <c r="L103" i="6"/>
  <c r="Y42" i="20"/>
  <c r="J94" i="20"/>
  <c r="Q74" i="20" s="1"/>
  <c r="H118" i="6" s="1"/>
  <c r="T94" i="20"/>
  <c r="H94" i="20"/>
  <c r="H101" i="20" s="1"/>
  <c r="J47" i="11" s="1"/>
  <c r="I9" i="20"/>
  <c r="I12" i="20" s="1"/>
  <c r="G74" i="11"/>
  <c r="G75" i="11" s="1"/>
  <c r="M29" i="20"/>
  <c r="O47" i="2"/>
  <c r="F29" i="6"/>
  <c r="W7" i="18"/>
  <c r="BA3" i="5" s="1"/>
  <c r="BD7" i="5" s="1"/>
  <c r="AM7" i="5" s="1"/>
  <c r="Z7" i="18"/>
  <c r="BD3" i="5" s="1"/>
  <c r="BA7" i="5" s="1"/>
  <c r="AJ7" i="5" s="1"/>
  <c r="S7" i="18"/>
  <c r="AW3" i="5" s="1"/>
  <c r="AW7" i="5" s="1"/>
  <c r="I37" i="20"/>
  <c r="L48" i="6"/>
  <c r="L74" i="6"/>
  <c r="AC82" i="18"/>
  <c r="AE120" i="18"/>
  <c r="L39" i="6"/>
  <c r="L55" i="6"/>
  <c r="L62" i="6"/>
  <c r="L65" i="6"/>
  <c r="L70" i="6"/>
  <c r="L81" i="6"/>
  <c r="AE54" i="18"/>
  <c r="X134" i="18"/>
  <c r="AE148" i="18"/>
  <c r="W25" i="20"/>
  <c r="O66" i="2"/>
  <c r="L69" i="6"/>
  <c r="L85" i="6"/>
  <c r="L78" i="6"/>
  <c r="AD53" i="18"/>
  <c r="AC33" i="18"/>
  <c r="T135" i="18"/>
  <c r="X136" i="18"/>
  <c r="Y126" i="18"/>
  <c r="AD92" i="18"/>
  <c r="AE63" i="18"/>
  <c r="AE26" i="18"/>
  <c r="Y134" i="18"/>
  <c r="AB120" i="18"/>
  <c r="U131" i="18"/>
  <c r="V121" i="18"/>
  <c r="AA134" i="18"/>
  <c r="T129" i="18"/>
  <c r="AC118" i="18"/>
  <c r="T160" i="18"/>
  <c r="AC74" i="18"/>
  <c r="AD42" i="18"/>
  <c r="AC134" i="18"/>
  <c r="AE11" i="18"/>
  <c r="AD147" i="18"/>
  <c r="AE73" i="18"/>
  <c r="AC43" i="18"/>
  <c r="X129" i="18"/>
  <c r="AD18" i="18"/>
  <c r="AE154" i="18"/>
  <c r="B138" i="18"/>
  <c r="AD40" i="18"/>
  <c r="AE137" i="18"/>
  <c r="AE135" i="18"/>
  <c r="X121" i="18"/>
  <c r="AC99" i="18"/>
  <c r="AC80" i="18"/>
  <c r="AC70" i="18"/>
  <c r="AC49" i="18"/>
  <c r="AE35" i="18"/>
  <c r="AC13" i="18"/>
  <c r="V127" i="18"/>
  <c r="W138" i="18"/>
  <c r="AD16" i="18"/>
  <c r="AE37" i="18"/>
  <c r="AE41" i="18"/>
  <c r="AB139" i="18"/>
  <c r="T131" i="18"/>
  <c r="AE23" i="18"/>
  <c r="R174" i="18"/>
  <c r="C174" i="18" s="1"/>
  <c r="AB138" i="18"/>
  <c r="B136" i="18"/>
  <c r="X123" i="18"/>
  <c r="Y121" i="18"/>
  <c r="U121" i="18"/>
  <c r="AB121" i="18"/>
  <c r="AD94" i="18"/>
  <c r="AC78" i="18"/>
  <c r="AD64" i="18"/>
  <c r="AC58" i="18"/>
  <c r="AC32" i="18"/>
  <c r="AC9" i="18"/>
  <c r="U127" i="18"/>
  <c r="AB137" i="18"/>
  <c r="AC152" i="18"/>
  <c r="AD35" i="18"/>
  <c r="AC40" i="18"/>
  <c r="U137" i="18"/>
  <c r="AE139" i="18"/>
  <c r="AD31" i="18"/>
  <c r="V128" i="18"/>
  <c r="V137" i="18"/>
  <c r="B135" i="18"/>
  <c r="AD119" i="18"/>
  <c r="W126" i="18"/>
  <c r="Z121" i="18"/>
  <c r="T126" i="18"/>
  <c r="V169" i="18"/>
  <c r="AC122" i="18"/>
  <c r="AB126" i="18"/>
  <c r="V125" i="18"/>
  <c r="V123" i="18"/>
  <c r="T121" i="18"/>
  <c r="AE123" i="18"/>
  <c r="X125" i="18"/>
  <c r="U123" i="18"/>
  <c r="Y120" i="18"/>
  <c r="AD135" i="18"/>
  <c r="AE150" i="18"/>
  <c r="AC120" i="18"/>
  <c r="AB125" i="18"/>
  <c r="W123" i="18"/>
  <c r="X120" i="18"/>
  <c r="AC136" i="18"/>
  <c r="AC123" i="18"/>
  <c r="Y125" i="18"/>
  <c r="W120" i="18"/>
  <c r="S128" i="18"/>
  <c r="AE145" i="18"/>
  <c r="R138" i="18"/>
  <c r="C138" i="18" s="1"/>
  <c r="V135" i="18"/>
  <c r="AB136" i="18"/>
  <c r="X138" i="18"/>
  <c r="U133" i="18"/>
  <c r="Z127" i="18"/>
  <c r="X128" i="18"/>
  <c r="AD114" i="18"/>
  <c r="AC19" i="18"/>
  <c r="AD22" i="18"/>
  <c r="AE122" i="18"/>
  <c r="T125" i="18"/>
  <c r="AC135" i="18"/>
  <c r="S131" i="18"/>
  <c r="AC18" i="18"/>
  <c r="U136" i="18"/>
  <c r="V138" i="18"/>
  <c r="S155" i="18"/>
  <c r="W127" i="18"/>
  <c r="AC42" i="18"/>
  <c r="AE21" i="18"/>
  <c r="AE28" i="18"/>
  <c r="AE46" i="18"/>
  <c r="AC121" i="18"/>
  <c r="Y123" i="18"/>
  <c r="AC150" i="18"/>
  <c r="S127" i="18"/>
  <c r="AD144" i="18"/>
  <c r="U135" i="18"/>
  <c r="W137" i="18"/>
  <c r="X139" i="18"/>
  <c r="T133" i="18"/>
  <c r="Z128" i="18"/>
  <c r="AE40" i="18"/>
  <c r="AC14" i="18"/>
  <c r="AD24" i="18"/>
  <c r="AC29" i="18"/>
  <c r="AD39" i="18"/>
  <c r="AE48" i="18"/>
  <c r="AC50" i="18"/>
  <c r="AD60" i="18"/>
  <c r="AD65" i="18"/>
  <c r="AC72" i="18"/>
  <c r="AD90" i="18"/>
  <c r="AE81" i="18"/>
  <c r="AE85" i="18"/>
  <c r="AC101" i="18"/>
  <c r="Z161" i="18"/>
  <c r="AD123" i="18"/>
  <c r="X126" i="18"/>
  <c r="T122" i="18"/>
  <c r="Z123" i="18"/>
  <c r="Z120" i="18"/>
  <c r="AD121" i="18"/>
  <c r="S125" i="18"/>
  <c r="AA123" i="18"/>
  <c r="T120" i="18"/>
  <c r="AC147" i="18"/>
  <c r="AC151" i="18"/>
  <c r="AE121" i="18"/>
  <c r="W125" i="18"/>
  <c r="AB123" i="18"/>
  <c r="AC119" i="18"/>
  <c r="X122" i="18"/>
  <c r="V120" i="18"/>
  <c r="U122" i="18"/>
  <c r="AE138" i="18"/>
  <c r="AE152" i="18"/>
  <c r="V122" i="18"/>
  <c r="S120" i="18"/>
  <c r="AD149" i="18"/>
  <c r="Z126" i="18"/>
  <c r="AD150" i="18"/>
  <c r="Y131" i="18"/>
  <c r="B137" i="18"/>
  <c r="Z135" i="18"/>
  <c r="Z137" i="18"/>
  <c r="Z139" i="18"/>
  <c r="Y133" i="18"/>
  <c r="AA130" i="18"/>
  <c r="AD41" i="18"/>
  <c r="AC12" i="18"/>
  <c r="AE24" i="18"/>
  <c r="V126" i="18"/>
  <c r="AC148" i="18"/>
  <c r="AC16" i="18"/>
  <c r="Y135" i="18"/>
  <c r="AA138" i="18"/>
  <c r="S133" i="18"/>
  <c r="AA127" i="18"/>
  <c r="AE113" i="18"/>
  <c r="AC24" i="18"/>
  <c r="AC39" i="18"/>
  <c r="AE118" i="18"/>
  <c r="AC138" i="18"/>
  <c r="T127" i="18"/>
  <c r="AC145" i="18"/>
  <c r="V136" i="18"/>
  <c r="S139" i="18"/>
  <c r="Z133" i="18"/>
  <c r="W128" i="18"/>
  <c r="AC11" i="18"/>
  <c r="AC25" i="18"/>
  <c r="AD33" i="18"/>
  <c r="AC45" i="18"/>
  <c r="AC51" i="18"/>
  <c r="AD67" i="18"/>
  <c r="AE71" i="18"/>
  <c r="AE77" i="18"/>
  <c r="AE83" i="18"/>
  <c r="AD98" i="18"/>
  <c r="AD124" i="18"/>
  <c r="AB122" i="18"/>
  <c r="R137" i="18"/>
  <c r="C137" i="18" s="1"/>
  <c r="Z122" i="18"/>
  <c r="AC139" i="18"/>
  <c r="AD122" i="18"/>
  <c r="AA122" i="18"/>
  <c r="AD139" i="18"/>
  <c r="AD151" i="18"/>
  <c r="W122" i="18"/>
  <c r="AC142" i="18"/>
  <c r="AC144" i="18"/>
  <c r="R139" i="18"/>
  <c r="C139" i="18" s="1"/>
  <c r="T136" i="18"/>
  <c r="T138" i="18"/>
  <c r="S134" i="18"/>
  <c r="U129" i="18"/>
  <c r="W129" i="18"/>
  <c r="AC154" i="18"/>
  <c r="AE30" i="18"/>
  <c r="AC28" i="18"/>
  <c r="T123" i="18"/>
  <c r="AE151" i="18"/>
  <c r="AE17" i="18"/>
  <c r="Z136" i="18"/>
  <c r="W139" i="18"/>
  <c r="X133" i="18"/>
  <c r="X127" i="18"/>
  <c r="AE114" i="18"/>
  <c r="AD26" i="18"/>
  <c r="AE36" i="18"/>
  <c r="U126" i="18"/>
  <c r="AD148" i="18"/>
  <c r="Y128" i="18"/>
  <c r="R136" i="18"/>
  <c r="C136" i="18" s="1"/>
  <c r="AA136" i="18"/>
  <c r="X169" i="18"/>
  <c r="V161" i="18"/>
  <c r="AC100" i="18"/>
  <c r="AC84" i="18"/>
  <c r="AE79" i="18"/>
  <c r="AD69" i="18"/>
  <c r="AC52" i="18"/>
  <c r="AE44" i="18"/>
  <c r="AC27" i="18"/>
  <c r="AD19" i="18"/>
  <c r="AA128" i="18"/>
  <c r="T134" i="18"/>
  <c r="AA135" i="18"/>
  <c r="AD142" i="18"/>
  <c r="AE38" i="18"/>
  <c r="AC22" i="18"/>
  <c r="V131" i="18"/>
  <c r="AA137" i="18"/>
  <c r="AE15" i="18"/>
  <c r="AD118" i="18"/>
  <c r="AD14" i="18"/>
  <c r="Z131" i="18"/>
  <c r="V139" i="18"/>
  <c r="AE134" i="18"/>
  <c r="Y127" i="18"/>
  <c r="AC124" i="18"/>
  <c r="S121" i="18"/>
  <c r="AC149" i="18"/>
  <c r="S126" i="18"/>
  <c r="Z125" i="18"/>
  <c r="S161" i="18"/>
  <c r="AA169" i="18"/>
  <c r="W160" i="18"/>
  <c r="AA161" i="18"/>
  <c r="Y160" i="18"/>
  <c r="T7" i="18"/>
  <c r="AX3" i="5" s="1"/>
  <c r="AX7" i="5" s="1"/>
  <c r="AG7" i="5" s="1"/>
  <c r="AA7" i="18"/>
  <c r="BE3" i="5" s="1"/>
  <c r="BB7" i="5" s="1"/>
  <c r="AK7" i="5" s="1"/>
  <c r="X7" i="18"/>
  <c r="BB3" i="5" s="1"/>
  <c r="BE7" i="5" s="1"/>
  <c r="AN7" i="5" s="1"/>
  <c r="V7" i="18"/>
  <c r="AZ3" i="5" s="1"/>
  <c r="AZ7" i="5" s="1"/>
  <c r="AI7" i="5" s="1"/>
  <c r="AB7" i="18"/>
  <c r="BF3" i="5" s="1"/>
  <c r="BC7" i="5" s="1"/>
  <c r="AL7" i="5" s="1"/>
  <c r="L33" i="6"/>
  <c r="D6" i="17"/>
  <c r="E6" i="17" s="1"/>
  <c r="E78" i="17" s="1"/>
  <c r="Y7" i="18"/>
  <c r="BC3" i="5" s="1"/>
  <c r="BF7" i="5" s="1"/>
  <c r="AO7" i="5" s="1"/>
  <c r="F268" i="9"/>
  <c r="F269" i="9" s="1"/>
  <c r="D6" i="16"/>
  <c r="E6" i="16" s="1"/>
  <c r="U7" i="18"/>
  <c r="AY3" i="5" s="1"/>
  <c r="AY7" i="5" s="1"/>
  <c r="AH7" i="5" s="1"/>
  <c r="O33" i="6"/>
  <c r="L50" i="6"/>
  <c r="O50" i="6"/>
  <c r="O91" i="6"/>
  <c r="L91" i="6"/>
  <c r="L60" i="6"/>
  <c r="O60" i="6"/>
  <c r="L76" i="6"/>
  <c r="O76" i="6"/>
  <c r="AB160" i="18"/>
  <c r="T169" i="18"/>
  <c r="Y161" i="18"/>
  <c r="T161" i="18"/>
  <c r="V110" i="5"/>
  <c r="Z110" i="5" s="1"/>
  <c r="Q110" i="5" s="1"/>
  <c r="Y48" i="4" s="1"/>
  <c r="Z48" i="4" s="1"/>
  <c r="K110" i="18"/>
  <c r="R33" i="6"/>
  <c r="J51" i="3"/>
  <c r="E87" i="17"/>
  <c r="O95" i="15"/>
  <c r="U96" i="15" s="1"/>
  <c r="L46" i="6"/>
  <c r="O46" i="6"/>
  <c r="O57" i="6"/>
  <c r="L57" i="6"/>
  <c r="L56" i="6"/>
  <c r="O56" i="6"/>
  <c r="L72" i="6"/>
  <c r="O72" i="6"/>
  <c r="L88" i="6"/>
  <c r="O88" i="6"/>
  <c r="O32" i="6"/>
  <c r="L32" i="6"/>
  <c r="U32" i="6"/>
  <c r="R32" i="6"/>
  <c r="U169" i="18"/>
  <c r="S169" i="18"/>
  <c r="X161" i="18"/>
  <c r="V111" i="5"/>
  <c r="Z111" i="5" s="1"/>
  <c r="Q111" i="5" s="1"/>
  <c r="Y49" i="4" s="1"/>
  <c r="Z49" i="4" s="1"/>
  <c r="K111" i="18"/>
  <c r="O34" i="6"/>
  <c r="U34" i="6" s="1"/>
  <c r="K49" i="2"/>
  <c r="F11" i="6" s="1"/>
  <c r="F104" i="6" s="1"/>
  <c r="O42" i="6"/>
  <c r="L42" i="6"/>
  <c r="O59" i="6"/>
  <c r="L59" i="6"/>
  <c r="O66" i="6"/>
  <c r="L66" i="6"/>
  <c r="O73" i="6"/>
  <c r="L73" i="6"/>
  <c r="O68" i="6"/>
  <c r="L68" i="6"/>
  <c r="O84" i="6"/>
  <c r="L84" i="6"/>
  <c r="AE124" i="18"/>
  <c r="AD120" i="18"/>
  <c r="AA125" i="18"/>
  <c r="S123" i="18"/>
  <c r="U120" i="18"/>
  <c r="AD136" i="18"/>
  <c r="AD152" i="18"/>
  <c r="S129" i="18"/>
  <c r="AC15" i="18"/>
  <c r="AD17" i="18"/>
  <c r="AE18" i="18"/>
  <c r="AC137" i="18"/>
  <c r="X135" i="18"/>
  <c r="Y136" i="18"/>
  <c r="Y137" i="18"/>
  <c r="Z138" i="18"/>
  <c r="AA139" i="18"/>
  <c r="V134" i="18"/>
  <c r="W133" i="18"/>
  <c r="U130" i="18"/>
  <c r="Z130" i="18"/>
  <c r="W131" i="18"/>
  <c r="AE42" i="18"/>
  <c r="U125" i="18"/>
  <c r="Y122" i="18"/>
  <c r="AD138" i="18"/>
  <c r="AE149" i="18"/>
  <c r="S130" i="18"/>
  <c r="AE144" i="18"/>
  <c r="B139" i="18"/>
  <c r="AB135" i="18"/>
  <c r="T137" i="18"/>
  <c r="Y138" i="18"/>
  <c r="AB134" i="18"/>
  <c r="V129" i="18"/>
  <c r="AA131" i="18"/>
  <c r="AD113" i="18"/>
  <c r="AE9" i="18"/>
  <c r="AE12" i="18"/>
  <c r="AD30" i="18"/>
  <c r="AC23" i="18"/>
  <c r="AE27" i="18"/>
  <c r="AC35" i="18"/>
  <c r="AC46" i="18"/>
  <c r="AC37" i="18"/>
  <c r="AD38" i="18"/>
  <c r="AD44" i="18"/>
  <c r="AC53" i="18"/>
  <c r="AE49" i="18"/>
  <c r="AE52" i="18"/>
  <c r="AC54" i="18"/>
  <c r="AE55" i="18"/>
  <c r="AD56" i="18"/>
  <c r="AD57" i="18"/>
  <c r="AD59" i="18"/>
  <c r="AE60" i="18"/>
  <c r="AE61" i="18"/>
  <c r="AE67" i="18"/>
  <c r="AE64" i="18"/>
  <c r="AE65" i="18"/>
  <c r="AE68" i="18"/>
  <c r="AD70" i="18"/>
  <c r="AD71" i="18"/>
  <c r="AD74" i="18"/>
  <c r="AE76" i="18"/>
  <c r="AE90" i="18"/>
  <c r="AD78" i="18"/>
  <c r="AE80" i="18"/>
  <c r="AD82" i="18"/>
  <c r="AD83" i="18"/>
  <c r="AD86" i="18"/>
  <c r="AC87" i="18"/>
  <c r="AE89" i="18"/>
  <c r="AC91" i="18"/>
  <c r="AE92" i="18"/>
  <c r="AC94" i="18"/>
  <c r="AE95" i="18"/>
  <c r="AC98" i="18"/>
  <c r="AC102" i="18"/>
  <c r="AC104" i="18"/>
  <c r="AC105" i="18"/>
  <c r="AD106" i="18"/>
  <c r="AD107" i="18"/>
  <c r="AE108" i="18"/>
  <c r="AC111" i="18"/>
  <c r="AD112" i="18"/>
  <c r="AD116" i="18"/>
  <c r="AE119" i="18"/>
  <c r="AA126" i="18"/>
  <c r="AA121" i="18"/>
  <c r="AE142" i="18"/>
  <c r="Y130" i="18"/>
  <c r="AD145" i="18"/>
  <c r="AD134" i="18"/>
  <c r="S137" i="18"/>
  <c r="T139" i="18"/>
  <c r="U134" i="18"/>
  <c r="AB133" i="18"/>
  <c r="V130" i="18"/>
  <c r="X130" i="18"/>
  <c r="AC113" i="18"/>
  <c r="AE19" i="18"/>
  <c r="AD12" i="18"/>
  <c r="AC21" i="18"/>
  <c r="AE31" i="18"/>
  <c r="AD29" i="18"/>
  <c r="AD32" i="18"/>
  <c r="AE33" i="18"/>
  <c r="AE43" i="18"/>
  <c r="AD37" i="18"/>
  <c r="AC44" i="18"/>
  <c r="AE53" i="18"/>
  <c r="AD50" i="18"/>
  <c r="AD51" i="18"/>
  <c r="AC55" i="18"/>
  <c r="AC56" i="18"/>
  <c r="AE57" i="18"/>
  <c r="AC59" i="18"/>
  <c r="AD63" i="18"/>
  <c r="AC64" i="18"/>
  <c r="AC66" i="18"/>
  <c r="AD68" i="18"/>
  <c r="AE70" i="18"/>
  <c r="AE72" i="18"/>
  <c r="AC79" i="18"/>
  <c r="AD81" i="18"/>
  <c r="AC83" i="18"/>
  <c r="AC85" i="18"/>
  <c r="AE91" i="18"/>
  <c r="AE93" i="18"/>
  <c r="AD102" i="18"/>
  <c r="AD103" i="18"/>
  <c r="AE106" i="18"/>
  <c r="AC108" i="18"/>
  <c r="AD111" i="18"/>
  <c r="AE116" i="18"/>
  <c r="AC117" i="18"/>
  <c r="AC133" i="18"/>
  <c r="AC125" i="18"/>
  <c r="AC126" i="18"/>
  <c r="AB130" i="18"/>
  <c r="AC127" i="18"/>
  <c r="AE130" i="18"/>
  <c r="AE131" i="18"/>
  <c r="AD140" i="18"/>
  <c r="AC141" i="18"/>
  <c r="AC143" i="18"/>
  <c r="AD146" i="18"/>
  <c r="AD153" i="18"/>
  <c r="AD155" i="18"/>
  <c r="AE156" i="18"/>
  <c r="AE157" i="18"/>
  <c r="AE159" i="18"/>
  <c r="AD160" i="18"/>
  <c r="AE161" i="18"/>
  <c r="AE162" i="18"/>
  <c r="AE163" i="18"/>
  <c r="AE164" i="18"/>
  <c r="AC165" i="18"/>
  <c r="AC166" i="18"/>
  <c r="AD167" i="18"/>
  <c r="AD168" i="18"/>
  <c r="AD179" i="18"/>
  <c r="AD180" i="18"/>
  <c r="AC170" i="18"/>
  <c r="AE171" i="18"/>
  <c r="AC174" i="18"/>
  <c r="U9" i="18"/>
  <c r="Y9" i="18"/>
  <c r="B10" i="18"/>
  <c r="AD10" i="18"/>
  <c r="T10" i="18"/>
  <c r="X10" i="18"/>
  <c r="AB10" i="18"/>
  <c r="U11" i="18"/>
  <c r="Y11" i="18"/>
  <c r="B12" i="18"/>
  <c r="S12" i="18"/>
  <c r="W12" i="18"/>
  <c r="AA12" i="18"/>
  <c r="R13" i="18"/>
  <c r="C13" i="18" s="1"/>
  <c r="T13" i="18"/>
  <c r="X13" i="18"/>
  <c r="AB13" i="18"/>
  <c r="V14" i="18"/>
  <c r="Z14" i="18"/>
  <c r="S15" i="18"/>
  <c r="W15" i="18"/>
  <c r="AA15" i="18"/>
  <c r="R16" i="18"/>
  <c r="C16" i="18" s="1"/>
  <c r="T16" i="18"/>
  <c r="X16" i="18"/>
  <c r="AB16" i="18"/>
  <c r="U17" i="18"/>
  <c r="Y17" i="18"/>
  <c r="B18" i="18"/>
  <c r="V18" i="18"/>
  <c r="Z18" i="18"/>
  <c r="V19" i="18"/>
  <c r="Z19" i="18"/>
  <c r="R20" i="18"/>
  <c r="C20" i="18" s="1"/>
  <c r="AE20" i="18"/>
  <c r="U20" i="18"/>
  <c r="Y20" i="18"/>
  <c r="B21" i="18"/>
  <c r="S21" i="18"/>
  <c r="W21" i="18"/>
  <c r="AA21" i="18"/>
  <c r="R22" i="18"/>
  <c r="C22" i="18" s="1"/>
  <c r="U22" i="18"/>
  <c r="Y22" i="18"/>
  <c r="B23" i="18"/>
  <c r="V23" i="18"/>
  <c r="Z23" i="18"/>
  <c r="S24" i="18"/>
  <c r="W24" i="18"/>
  <c r="AA24" i="18"/>
  <c r="R25" i="18"/>
  <c r="C25" i="18" s="1"/>
  <c r="T25" i="18"/>
  <c r="X25" i="18"/>
  <c r="AB25" i="18"/>
  <c r="V26" i="18"/>
  <c r="Z26" i="18"/>
  <c r="S27" i="18"/>
  <c r="W27" i="18"/>
  <c r="AA27" i="18"/>
  <c r="R28" i="18"/>
  <c r="C28" i="18" s="1"/>
  <c r="T28" i="18"/>
  <c r="X28" i="18"/>
  <c r="AB28" i="18"/>
  <c r="U29" i="18"/>
  <c r="Y29" i="18"/>
  <c r="B30" i="18"/>
  <c r="U30" i="18"/>
  <c r="Y30" i="18"/>
  <c r="B31" i="18"/>
  <c r="U31" i="18"/>
  <c r="Y31" i="18"/>
  <c r="B32" i="18"/>
  <c r="V32" i="18"/>
  <c r="Z32" i="18"/>
  <c r="R33" i="18"/>
  <c r="C33" i="18" s="1"/>
  <c r="T33" i="18"/>
  <c r="X33" i="18"/>
  <c r="AB33" i="18"/>
  <c r="AC34" i="18"/>
  <c r="S34" i="18"/>
  <c r="W34" i="18"/>
  <c r="AA34" i="18"/>
  <c r="R35" i="18"/>
  <c r="C35" i="18" s="1"/>
  <c r="T35" i="18"/>
  <c r="X35" i="18"/>
  <c r="AB35" i="18"/>
  <c r="V36" i="18"/>
  <c r="Z36" i="18"/>
  <c r="S37" i="18"/>
  <c r="W37" i="18"/>
  <c r="AA37" i="18"/>
  <c r="R38" i="18"/>
  <c r="C38" i="18" s="1"/>
  <c r="T38" i="18"/>
  <c r="X38" i="18"/>
  <c r="AB38" i="18"/>
  <c r="V39" i="18"/>
  <c r="Z39" i="18"/>
  <c r="R40" i="18"/>
  <c r="C40" i="18" s="1"/>
  <c r="T40" i="18"/>
  <c r="X40" i="18"/>
  <c r="AB40" i="18"/>
  <c r="T41" i="18"/>
  <c r="X41" i="18"/>
  <c r="AB41" i="18"/>
  <c r="V42" i="18"/>
  <c r="Z42" i="18"/>
  <c r="S43" i="18"/>
  <c r="W43" i="18"/>
  <c r="AA43" i="18"/>
  <c r="U44" i="18"/>
  <c r="Y44" i="18"/>
  <c r="B45" i="18"/>
  <c r="V45" i="18"/>
  <c r="Z45" i="18"/>
  <c r="R46" i="18"/>
  <c r="C46" i="18" s="1"/>
  <c r="V46" i="18"/>
  <c r="Z46" i="18"/>
  <c r="AD47" i="18"/>
  <c r="T47" i="18"/>
  <c r="X47" i="18"/>
  <c r="AB47" i="18"/>
  <c r="V48" i="18"/>
  <c r="Z48" i="18"/>
  <c r="S49" i="18"/>
  <c r="W49" i="18"/>
  <c r="AA49" i="18"/>
  <c r="R50" i="18"/>
  <c r="C50" i="18" s="1"/>
  <c r="T50" i="18"/>
  <c r="X50" i="18"/>
  <c r="AB50" i="18"/>
  <c r="U51" i="18"/>
  <c r="Y51" i="18"/>
  <c r="B52" i="18"/>
  <c r="V52" i="18"/>
  <c r="Z52" i="18"/>
  <c r="T53" i="18"/>
  <c r="X53" i="18"/>
  <c r="AB53" i="18"/>
  <c r="U54" i="18"/>
  <c r="Y54" i="18"/>
  <c r="B55" i="18"/>
  <c r="V55" i="18"/>
  <c r="Z55" i="18"/>
  <c r="R56" i="18"/>
  <c r="C56" i="18" s="1"/>
  <c r="S56" i="18"/>
  <c r="AE147" i="18"/>
  <c r="AE16" i="18"/>
  <c r="R135" i="18"/>
  <c r="C135" i="18" s="1"/>
  <c r="W136" i="18"/>
  <c r="U139" i="18"/>
  <c r="V133" i="18"/>
  <c r="Z129" i="18"/>
  <c r="AD154" i="18"/>
  <c r="AD9" i="18"/>
  <c r="AD21" i="18"/>
  <c r="AD23" i="18"/>
  <c r="AE25" i="18"/>
  <c r="AD27" i="18"/>
  <c r="AE32" i="18"/>
  <c r="AE39" i="18"/>
  <c r="AE45" i="18"/>
  <c r="AD48" i="18"/>
  <c r="AE50" i="18"/>
  <c r="AD54" i="18"/>
  <c r="AE56" i="18"/>
  <c r="AC67" i="18"/>
  <c r="AC65" i="18"/>
  <c r="AC69" i="18"/>
  <c r="AE74" i="18"/>
  <c r="AC90" i="18"/>
  <c r="AD77" i="18"/>
  <c r="AD84" i="18"/>
  <c r="AE88" i="18"/>
  <c r="AD89" i="18"/>
  <c r="AD91" i="18"/>
  <c r="AE94" i="18"/>
  <c r="AD101" i="18"/>
  <c r="AC103" i="18"/>
  <c r="AD105" i="18"/>
  <c r="AC107" i="18"/>
  <c r="AE111" i="18"/>
  <c r="AD133" i="18"/>
  <c r="AE125" i="18"/>
  <c r="AB127" i="18"/>
  <c r="AB129" i="18"/>
  <c r="AD127" i="18"/>
  <c r="AD128" i="18"/>
  <c r="AD129" i="18"/>
  <c r="AC130" i="18"/>
  <c r="AD131" i="18"/>
  <c r="AE140" i="18"/>
  <c r="AE141" i="18"/>
  <c r="AE153" i="18"/>
  <c r="AD156" i="18"/>
  <c r="AC158" i="18"/>
  <c r="AC159" i="18"/>
  <c r="AC160" i="18"/>
  <c r="AC163" i="18"/>
  <c r="AE165" i="18"/>
  <c r="AC167" i="18"/>
  <c r="AE168" i="18"/>
  <c r="AC180" i="18"/>
  <c r="AD170" i="18"/>
  <c r="AD172" i="18"/>
  <c r="AE173" i="18"/>
  <c r="AE175" i="18"/>
  <c r="AE176" i="18"/>
  <c r="AE177" i="18"/>
  <c r="AD178" i="18"/>
  <c r="W9" i="18"/>
  <c r="AB9" i="18"/>
  <c r="AE10" i="18"/>
  <c r="V10" i="18"/>
  <c r="AA10" i="18"/>
  <c r="W11" i="18"/>
  <c r="AB11" i="18"/>
  <c r="T12" i="18"/>
  <c r="Y12" i="18"/>
  <c r="U13" i="18"/>
  <c r="Z13" i="18"/>
  <c r="W14" i="18"/>
  <c r="AB14" i="18"/>
  <c r="X15" i="18"/>
  <c r="B16" i="18"/>
  <c r="S16" i="18"/>
  <c r="Y16" i="18"/>
  <c r="S17" i="18"/>
  <c r="X17" i="18"/>
  <c r="T18" i="18"/>
  <c r="Y18" i="18"/>
  <c r="R19" i="18"/>
  <c r="C19" i="18" s="1"/>
  <c r="T19" i="18"/>
  <c r="Y19" i="18"/>
  <c r="S20" i="18"/>
  <c r="X20" i="18"/>
  <c r="R21" i="18"/>
  <c r="C21" i="18" s="1"/>
  <c r="U21" i="18"/>
  <c r="Z21" i="18"/>
  <c r="W22" i="18"/>
  <c r="AB22" i="18"/>
  <c r="S23" i="18"/>
  <c r="X23" i="18"/>
  <c r="B24" i="18"/>
  <c r="T24" i="18"/>
  <c r="Y24" i="18"/>
  <c r="U25" i="18"/>
  <c r="Z25" i="18"/>
  <c r="R26" i="18"/>
  <c r="C26" i="18" s="1"/>
  <c r="W26" i="18"/>
  <c r="AB26" i="18"/>
  <c r="X27" i="18"/>
  <c r="B28" i="18"/>
  <c r="S28" i="18"/>
  <c r="Y28" i="18"/>
  <c r="S29" i="18"/>
  <c r="X29" i="18"/>
  <c r="S30" i="18"/>
  <c r="X30" i="18"/>
  <c r="R31" i="18"/>
  <c r="C31" i="18" s="1"/>
  <c r="W31" i="18"/>
  <c r="AB31" i="18"/>
  <c r="S32" i="18"/>
  <c r="X32" i="18"/>
  <c r="B33" i="18"/>
  <c r="U33" i="18"/>
  <c r="Z33" i="18"/>
  <c r="T34" i="18"/>
  <c r="Y34" i="18"/>
  <c r="U35" i="18"/>
  <c r="Z35" i="18"/>
  <c r="R36" i="18"/>
  <c r="C36" i="18" s="1"/>
  <c r="W36" i="18"/>
  <c r="AB36" i="18"/>
  <c r="X37" i="18"/>
  <c r="B38" i="18"/>
  <c r="S38" i="18"/>
  <c r="Y38" i="18"/>
  <c r="U39" i="18"/>
  <c r="AA39" i="18"/>
  <c r="W40" i="18"/>
  <c r="B41" i="18"/>
  <c r="W41" i="18"/>
  <c r="R42" i="18"/>
  <c r="C42" i="18" s="1"/>
  <c r="T42" i="18"/>
  <c r="Y42" i="18"/>
  <c r="R43" i="18"/>
  <c r="C43" i="18" s="1"/>
  <c r="U43" i="18"/>
  <c r="Z43" i="18"/>
  <c r="W44" i="18"/>
  <c r="AB44" i="18"/>
  <c r="S45" i="18"/>
  <c r="X45" i="18"/>
  <c r="B46" i="18"/>
  <c r="S46" i="18"/>
  <c r="X46" i="18"/>
  <c r="B47" i="18"/>
  <c r="AE47" i="18"/>
  <c r="V47" i="18"/>
  <c r="AA47" i="18"/>
  <c r="S48" i="18"/>
  <c r="X48" i="18"/>
  <c r="B49" i="18"/>
  <c r="T49" i="18"/>
  <c r="Y49" i="18"/>
  <c r="U50" i="18"/>
  <c r="Z50" i="18"/>
  <c r="R51" i="18"/>
  <c r="C51" i="18" s="1"/>
  <c r="T51" i="18"/>
  <c r="Z51" i="18"/>
  <c r="R52" i="18"/>
  <c r="C52" i="18" s="1"/>
  <c r="U52" i="18"/>
  <c r="AA52" i="18"/>
  <c r="W53" i="18"/>
  <c r="B54" i="18"/>
  <c r="S54" i="18"/>
  <c r="X54" i="18"/>
  <c r="R55" i="18"/>
  <c r="C55" i="18" s="1"/>
  <c r="T55" i="18"/>
  <c r="Y55" i="18"/>
  <c r="U56" i="18"/>
  <c r="Y56" i="18"/>
  <c r="B57" i="18"/>
  <c r="V57" i="18"/>
  <c r="Z57" i="18"/>
  <c r="R58" i="18"/>
  <c r="C58" i="18" s="1"/>
  <c r="T58" i="18"/>
  <c r="X58" i="18"/>
  <c r="AB58" i="18"/>
  <c r="U59" i="18"/>
  <c r="Y59" i="18"/>
  <c r="B60" i="18"/>
  <c r="S60" i="18"/>
  <c r="W60" i="18"/>
  <c r="AA60" i="18"/>
  <c r="R61" i="18"/>
  <c r="C61" i="18" s="1"/>
  <c r="U61" i="18"/>
  <c r="Y61" i="18"/>
  <c r="B62" i="18"/>
  <c r="AD62" i="18"/>
  <c r="T62" i="18"/>
  <c r="X62" i="18"/>
  <c r="AB62" i="18"/>
  <c r="V63" i="18"/>
  <c r="Z63" i="18"/>
  <c r="R64" i="18"/>
  <c r="C64" i="18" s="1"/>
  <c r="T64" i="18"/>
  <c r="X64" i="18"/>
  <c r="AB64" i="18"/>
  <c r="U65" i="18"/>
  <c r="Y65" i="18"/>
  <c r="B66" i="18"/>
  <c r="V66" i="18"/>
  <c r="Z66" i="18"/>
  <c r="R67" i="18"/>
  <c r="C67" i="18" s="1"/>
  <c r="T67" i="18"/>
  <c r="X67" i="18"/>
  <c r="AB67" i="18"/>
  <c r="V68" i="18"/>
  <c r="Z68" i="18"/>
  <c r="V69" i="18"/>
  <c r="Z69" i="18"/>
  <c r="S70" i="18"/>
  <c r="W70" i="18"/>
  <c r="AA70" i="18"/>
  <c r="U71" i="18"/>
  <c r="Y71" i="18"/>
  <c r="B72" i="18"/>
  <c r="V72" i="18"/>
  <c r="Z72" i="18"/>
  <c r="S73" i="18"/>
  <c r="W73" i="18"/>
  <c r="AA73" i="18"/>
  <c r="T74" i="18"/>
  <c r="X74" i="18"/>
  <c r="AB74" i="18"/>
  <c r="AC75" i="18"/>
  <c r="S75" i="18"/>
  <c r="W75" i="18"/>
  <c r="AA75" i="18"/>
  <c r="R76" i="18"/>
  <c r="C76" i="18" s="1"/>
  <c r="T76" i="18"/>
  <c r="X76" i="18"/>
  <c r="AB76" i="18"/>
  <c r="V77" i="18"/>
  <c r="Z77" i="18"/>
  <c r="V78" i="18"/>
  <c r="Z78" i="18"/>
  <c r="S79" i="18"/>
  <c r="W79" i="18"/>
  <c r="AA79" i="18"/>
  <c r="U80" i="18"/>
  <c r="Y80" i="18"/>
  <c r="B81" i="18"/>
  <c r="V81" i="18"/>
  <c r="Z81" i="18"/>
  <c r="S82" i="18"/>
  <c r="W82" i="18"/>
  <c r="AA82" i="18"/>
  <c r="R83" i="18"/>
  <c r="C83" i="18" s="1"/>
  <c r="S83" i="18"/>
  <c r="W83" i="18"/>
  <c r="AA83" i="18"/>
  <c r="R84" i="18"/>
  <c r="C84" i="18" s="1"/>
  <c r="T84" i="18"/>
  <c r="X84" i="18"/>
  <c r="AB84" i="18"/>
  <c r="U85" i="18"/>
  <c r="Y85" i="18"/>
  <c r="B86" i="18"/>
  <c r="U86" i="18"/>
  <c r="Y86" i="18"/>
  <c r="B87" i="18"/>
  <c r="V87" i="18"/>
  <c r="Z87" i="18"/>
  <c r="R88" i="18"/>
  <c r="C88" i="18" s="1"/>
  <c r="S88" i="18"/>
  <c r="W88" i="18"/>
  <c r="AA88" i="18"/>
  <c r="U89" i="18"/>
  <c r="Y89" i="18"/>
  <c r="B90" i="18"/>
  <c r="S90" i="18"/>
  <c r="W90" i="18"/>
  <c r="AA90" i="18"/>
  <c r="U91" i="18"/>
  <c r="Y91" i="18"/>
  <c r="B92" i="18"/>
  <c r="S92" i="18"/>
  <c r="W92" i="18"/>
  <c r="AA92" i="18"/>
  <c r="R93" i="18"/>
  <c r="C93" i="18" s="1"/>
  <c r="U93" i="18"/>
  <c r="Y93" i="18"/>
  <c r="B94" i="18"/>
  <c r="S94" i="18"/>
  <c r="W94" i="18"/>
  <c r="AA94" i="18"/>
  <c r="R95" i="18"/>
  <c r="C95" i="18" s="1"/>
  <c r="T95" i="18"/>
  <c r="X95" i="18"/>
  <c r="AB95" i="18"/>
  <c r="U96" i="18"/>
  <c r="Y96" i="18"/>
  <c r="AC96" i="18"/>
  <c r="AE97" i="18"/>
  <c r="U97" i="18"/>
  <c r="Y97" i="18"/>
  <c r="B98" i="18"/>
  <c r="S98" i="18"/>
  <c r="W98" i="18"/>
  <c r="AA98" i="18"/>
  <c r="R99" i="18"/>
  <c r="C99" i="18" s="1"/>
  <c r="T99" i="18"/>
  <c r="X99" i="18"/>
  <c r="AB99" i="18"/>
  <c r="U100" i="18"/>
  <c r="Y100" i="18"/>
  <c r="B101" i="18"/>
  <c r="V101" i="18"/>
  <c r="Z101" i="18"/>
  <c r="R102" i="18"/>
  <c r="C102" i="18" s="1"/>
  <c r="T102" i="18"/>
  <c r="X102" i="18"/>
  <c r="AB102" i="18"/>
  <c r="V103" i="18"/>
  <c r="Z103" i="18"/>
  <c r="T104" i="18"/>
  <c r="X104" i="18"/>
  <c r="AB104" i="18"/>
  <c r="V105" i="18"/>
  <c r="Z105" i="18"/>
  <c r="T106" i="18"/>
  <c r="X106" i="18"/>
  <c r="AB106" i="18"/>
  <c r="V107" i="18"/>
  <c r="Z107" i="18"/>
  <c r="T108" i="18"/>
  <c r="X108" i="18"/>
  <c r="AB108" i="18"/>
  <c r="V109" i="18"/>
  <c r="Z109" i="18"/>
  <c r="T110" i="18"/>
  <c r="X110" i="18"/>
  <c r="AB110" i="18"/>
  <c r="U111" i="18"/>
  <c r="Y111" i="18"/>
  <c r="B112" i="18"/>
  <c r="S112" i="18"/>
  <c r="W112" i="18"/>
  <c r="AA112" i="18"/>
  <c r="U113" i="18"/>
  <c r="Y113" i="18"/>
  <c r="B114" i="18"/>
  <c r="V114" i="18"/>
  <c r="Z114" i="18"/>
  <c r="V115" i="18"/>
  <c r="Z115" i="18"/>
  <c r="AD115" i="18"/>
  <c r="R116" i="18"/>
  <c r="C116" i="18" s="1"/>
  <c r="U116" i="18"/>
  <c r="Y116" i="18"/>
  <c r="B117" i="18"/>
  <c r="S117" i="18"/>
  <c r="W117" i="18"/>
  <c r="AA117" i="18"/>
  <c r="R118" i="18"/>
  <c r="C118" i="18" s="1"/>
  <c r="U118" i="18"/>
  <c r="Y118" i="18"/>
  <c r="B119" i="18"/>
  <c r="V119" i="18"/>
  <c r="Z119" i="18"/>
  <c r="R120" i="18"/>
  <c r="C120" i="18" s="1"/>
  <c r="R121" i="18"/>
  <c r="C121" i="18" s="1"/>
  <c r="R122" i="18"/>
  <c r="C122" i="18" s="1"/>
  <c r="R123" i="18"/>
  <c r="C123" i="18" s="1"/>
  <c r="R124" i="18"/>
  <c r="C124" i="18" s="1"/>
  <c r="V124" i="18"/>
  <c r="Z124" i="18"/>
  <c r="R125" i="18"/>
  <c r="C125" i="18" s="1"/>
  <c r="R126" i="18"/>
  <c r="C126" i="18" s="1"/>
  <c r="B129" i="18"/>
  <c r="V132" i="18"/>
  <c r="Z132" i="18"/>
  <c r="B133" i="18"/>
  <c r="R134" i="18"/>
  <c r="C134" i="18" s="1"/>
  <c r="B140" i="18"/>
  <c r="V140" i="18"/>
  <c r="Z140" i="18"/>
  <c r="T141" i="18"/>
  <c r="X141" i="18"/>
  <c r="AB141" i="18"/>
  <c r="V142" i="18"/>
  <c r="Z142" i="18"/>
  <c r="S143" i="18"/>
  <c r="W143" i="18"/>
  <c r="AA143" i="18"/>
  <c r="R144" i="18"/>
  <c r="C144" i="18" s="1"/>
  <c r="U144" i="18"/>
  <c r="Y144" i="18"/>
  <c r="B145" i="18"/>
  <c r="U145" i="18"/>
  <c r="Y145" i="18"/>
  <c r="B146" i="18"/>
  <c r="V146" i="18"/>
  <c r="Z146" i="18"/>
  <c r="R147" i="18"/>
  <c r="C147" i="18" s="1"/>
  <c r="T147" i="18"/>
  <c r="X147" i="18"/>
  <c r="AB147" i="18"/>
  <c r="U148" i="18"/>
  <c r="Y148" i="18"/>
  <c r="B149" i="18"/>
  <c r="V149" i="18"/>
  <c r="Z149" i="18"/>
  <c r="R150" i="18"/>
  <c r="C150" i="18" s="1"/>
  <c r="S150" i="18"/>
  <c r="W150" i="18"/>
  <c r="AA150" i="18"/>
  <c r="T151" i="18"/>
  <c r="X151" i="18"/>
  <c r="AB151" i="18"/>
  <c r="V152" i="18"/>
  <c r="Z152" i="18"/>
  <c r="R153" i="18"/>
  <c r="C153" i="18" s="1"/>
  <c r="T153" i="18"/>
  <c r="X153" i="18"/>
  <c r="AB153" i="18"/>
  <c r="V154" i="18"/>
  <c r="Z154" i="18"/>
  <c r="T155" i="18"/>
  <c r="X155" i="18"/>
  <c r="AB155" i="18"/>
  <c r="U156" i="18"/>
  <c r="Y156" i="18"/>
  <c r="B157" i="18"/>
  <c r="S157" i="18"/>
  <c r="W157" i="18"/>
  <c r="AA157" i="18"/>
  <c r="R158" i="18"/>
  <c r="C158" i="18" s="1"/>
  <c r="U158" i="18"/>
  <c r="Y158" i="18"/>
  <c r="B159" i="18"/>
  <c r="S159" i="18"/>
  <c r="W159" i="18"/>
  <c r="AA159" i="18"/>
  <c r="R160" i="18"/>
  <c r="C160" i="18" s="1"/>
  <c r="AA160" i="18"/>
  <c r="U162" i="18"/>
  <c r="Y162" i="18"/>
  <c r="B163" i="18"/>
  <c r="V163" i="18"/>
  <c r="Z163" i="18"/>
  <c r="S164" i="18"/>
  <c r="W164" i="18"/>
  <c r="AA164" i="18"/>
  <c r="R165" i="18"/>
  <c r="C165" i="18" s="1"/>
  <c r="U165" i="18"/>
  <c r="Y165" i="18"/>
  <c r="B166" i="18"/>
  <c r="V166" i="18"/>
  <c r="Z166" i="18"/>
  <c r="S167" i="18"/>
  <c r="W167" i="18"/>
  <c r="AA167" i="18"/>
  <c r="U168" i="18"/>
  <c r="Y168" i="18"/>
  <c r="B169" i="18"/>
  <c r="Y169" i="18"/>
  <c r="U170" i="18"/>
  <c r="Y170" i="18"/>
  <c r="B171" i="18"/>
  <c r="S171" i="18"/>
  <c r="W171" i="18"/>
  <c r="AA171" i="18"/>
  <c r="R172" i="18"/>
  <c r="C172" i="18" s="1"/>
  <c r="T172" i="18"/>
  <c r="X172" i="18"/>
  <c r="AB172" i="18"/>
  <c r="U173" i="18"/>
  <c r="Y173" i="18"/>
  <c r="B174" i="18"/>
  <c r="U174" i="18"/>
  <c r="Y174" i="18"/>
  <c r="B175" i="18"/>
  <c r="S175" i="18"/>
  <c r="W175" i="18"/>
  <c r="AA175" i="18"/>
  <c r="R176" i="18"/>
  <c r="C176" i="18" s="1"/>
  <c r="U176" i="18"/>
  <c r="Y176" i="18"/>
  <c r="B177" i="18"/>
  <c r="V177" i="18"/>
  <c r="Z177" i="18"/>
  <c r="R178" i="18"/>
  <c r="C178" i="18" s="1"/>
  <c r="T178" i="18"/>
  <c r="X178" i="18"/>
  <c r="AB178" i="18"/>
  <c r="V179" i="18"/>
  <c r="Z179" i="18"/>
  <c r="S180" i="18"/>
  <c r="W180" i="18"/>
  <c r="AA180" i="18"/>
  <c r="S135" i="18"/>
  <c r="T128" i="18"/>
  <c r="AD137" i="18"/>
  <c r="X137" i="18"/>
  <c r="Y139" i="18"/>
  <c r="AA133" i="18"/>
  <c r="AA129" i="18"/>
  <c r="AD43" i="18"/>
  <c r="AD58" i="18"/>
  <c r="AC61" i="18"/>
  <c r="AE69" i="18"/>
  <c r="AC71" i="18"/>
  <c r="AC73" i="18"/>
  <c r="AC114" i="18"/>
  <c r="AD11" i="18"/>
  <c r="AC30" i="18"/>
  <c r="AE29" i="18"/>
  <c r="AD55" i="18"/>
  <c r="AE59" i="18"/>
  <c r="AD66" i="18"/>
  <c r="AA120" i="18"/>
  <c r="T130" i="18"/>
  <c r="AD15" i="18"/>
  <c r="AC17" i="18"/>
  <c r="W135" i="18"/>
  <c r="S138" i="18"/>
  <c r="W130" i="18"/>
  <c r="AE136" i="18"/>
  <c r="Y129" i="18"/>
  <c r="S136" i="18"/>
  <c r="U138" i="18"/>
  <c r="Z134" i="18"/>
  <c r="U128" i="18"/>
  <c r="X131" i="18"/>
  <c r="AE13" i="18"/>
  <c r="AC48" i="18"/>
  <c r="AD52" i="18"/>
  <c r="AD61" i="18"/>
  <c r="AD80" i="18"/>
  <c r="AD93" i="18"/>
  <c r="AE101" i="18"/>
  <c r="AD104" i="18"/>
  <c r="AC109" i="18"/>
  <c r="AC110" i="18"/>
  <c r="AE112" i="18"/>
  <c r="AE117" i="18"/>
  <c r="AD125" i="18"/>
  <c r="AB131" i="18"/>
  <c r="AC128" i="18"/>
  <c r="AE129" i="18"/>
  <c r="AE132" i="18"/>
  <c r="AC140" i="18"/>
  <c r="AC155" i="18"/>
  <c r="AD157" i="18"/>
  <c r="AD161" i="18"/>
  <c r="AD166" i="18"/>
  <c r="AC168" i="18"/>
  <c r="AE180" i="18"/>
  <c r="AC169" i="18"/>
  <c r="AD171" i="18"/>
  <c r="AD173" i="18"/>
  <c r="AC177" i="18"/>
  <c r="AE178" i="18"/>
  <c r="B9" i="18"/>
  <c r="V9" i="18"/>
  <c r="R10" i="18"/>
  <c r="C10" i="18" s="1"/>
  <c r="S10" i="18"/>
  <c r="Z10" i="18"/>
  <c r="S11" i="18"/>
  <c r="Z11" i="18"/>
  <c r="Z12" i="18"/>
  <c r="Y13" i="18"/>
  <c r="S14" i="18"/>
  <c r="Y14" i="18"/>
  <c r="Y15" i="18"/>
  <c r="W16" i="18"/>
  <c r="R17" i="18"/>
  <c r="C17" i="18" s="1"/>
  <c r="V17" i="18"/>
  <c r="AB17" i="18"/>
  <c r="U18" i="18"/>
  <c r="AB18" i="18"/>
  <c r="S19" i="18"/>
  <c r="AA19" i="18"/>
  <c r="AD20" i="18"/>
  <c r="W20" i="18"/>
  <c r="X21" i="18"/>
  <c r="AE14" i="18"/>
  <c r="AD13" i="18"/>
  <c r="AE58" i="18"/>
  <c r="AD49" i="18"/>
  <c r="AE51" i="18"/>
  <c r="AE66" i="18"/>
  <c r="AD72" i="18"/>
  <c r="AC76" i="18"/>
  <c r="AE82" i="18"/>
  <c r="AD85" i="18"/>
  <c r="AC86" i="18"/>
  <c r="AD87" i="18"/>
  <c r="AC88" i="18"/>
  <c r="AC89" i="18"/>
  <c r="AC92" i="18"/>
  <c r="AE98" i="18"/>
  <c r="AE104" i="18"/>
  <c r="AD108" i="18"/>
  <c r="AE133" i="18"/>
  <c r="AE126" i="18"/>
  <c r="AE128" i="18"/>
  <c r="AC132" i="18"/>
  <c r="AC146" i="18"/>
  <c r="AD159" i="18"/>
  <c r="AC161" i="18"/>
  <c r="AD163" i="18"/>
  <c r="AC164" i="18"/>
  <c r="AE167" i="18"/>
  <c r="AD169" i="18"/>
  <c r="AE172" i="18"/>
  <c r="AD175" i="18"/>
  <c r="S9" i="18"/>
  <c r="U10" i="18"/>
  <c r="X11" i="18"/>
  <c r="U12" i="18"/>
  <c r="B13" i="18"/>
  <c r="W13" i="18"/>
  <c r="T14" i="18"/>
  <c r="B15" i="18"/>
  <c r="V15" i="18"/>
  <c r="Z16" i="18"/>
  <c r="AA17" i="18"/>
  <c r="W18" i="18"/>
  <c r="X19" i="18"/>
  <c r="AA20" i="18"/>
  <c r="V21" i="18"/>
  <c r="S22" i="18"/>
  <c r="Z22" i="18"/>
  <c r="Y23" i="18"/>
  <c r="X24" i="18"/>
  <c r="W25" i="18"/>
  <c r="X26" i="18"/>
  <c r="R27" i="18"/>
  <c r="C27" i="18" s="1"/>
  <c r="V27" i="18"/>
  <c r="V28" i="18"/>
  <c r="B29" i="18"/>
  <c r="T29" i="18"/>
  <c r="AA29" i="18"/>
  <c r="Z30" i="18"/>
  <c r="V31" i="18"/>
  <c r="U32" i="18"/>
  <c r="AB32" i="18"/>
  <c r="V33" i="18"/>
  <c r="B34" i="18"/>
  <c r="Z34" i="18"/>
  <c r="Y35" i="18"/>
  <c r="S36" i="18"/>
  <c r="Y36" i="18"/>
  <c r="Y37" i="18"/>
  <c r="W38" i="18"/>
  <c r="R39" i="18"/>
  <c r="C39" i="18" s="1"/>
  <c r="X39" i="18"/>
  <c r="Y40" i="18"/>
  <c r="R41" i="18"/>
  <c r="C41" i="18" s="1"/>
  <c r="V41" i="18"/>
  <c r="W42" i="18"/>
  <c r="B43" i="18"/>
  <c r="V43" i="18"/>
  <c r="B44" i="18"/>
  <c r="V44" i="18"/>
  <c r="R45" i="18"/>
  <c r="C45" i="18" s="1"/>
  <c r="U45" i="18"/>
  <c r="AB45" i="18"/>
  <c r="T46" i="18"/>
  <c r="AA46" i="18"/>
  <c r="AC47" i="18"/>
  <c r="W47" i="18"/>
  <c r="R48" i="18"/>
  <c r="C48" i="18" s="1"/>
  <c r="W48" i="18"/>
  <c r="R49" i="18"/>
  <c r="C49" i="18" s="1"/>
  <c r="V49" i="18"/>
  <c r="B50" i="18"/>
  <c r="V50" i="18"/>
  <c r="B51" i="18"/>
  <c r="S51" i="18"/>
  <c r="AA51" i="18"/>
  <c r="S52" i="18"/>
  <c r="Y52" i="18"/>
  <c r="S53" i="18"/>
  <c r="Z53" i="18"/>
  <c r="Z54" i="18"/>
  <c r="X55" i="18"/>
  <c r="W56" i="18"/>
  <c r="AB56" i="18"/>
  <c r="S57" i="18"/>
  <c r="X57" i="18"/>
  <c r="B58" i="18"/>
  <c r="U58" i="18"/>
  <c r="Z58" i="18"/>
  <c r="R59" i="18"/>
  <c r="C59" i="18" s="1"/>
  <c r="V59" i="18"/>
  <c r="AA59" i="18"/>
  <c r="X60" i="18"/>
  <c r="B61" i="18"/>
  <c r="T61" i="18"/>
  <c r="Z61" i="18"/>
  <c r="R62" i="18"/>
  <c r="C62" i="18" s="1"/>
  <c r="S62" i="18"/>
  <c r="Y62" i="18"/>
  <c r="U63" i="18"/>
  <c r="AA63" i="18"/>
  <c r="W64" i="18"/>
  <c r="B65" i="18"/>
  <c r="S65" i="18"/>
  <c r="X65" i="18"/>
  <c r="R66" i="18"/>
  <c r="C66" i="18" s="1"/>
  <c r="T66" i="18"/>
  <c r="Y66" i="18"/>
  <c r="V67" i="18"/>
  <c r="AA67" i="18"/>
  <c r="S68" i="18"/>
  <c r="X68" i="18"/>
  <c r="B69" i="18"/>
  <c r="S69" i="18"/>
  <c r="X69" i="18"/>
  <c r="B70" i="18"/>
  <c r="T70" i="18"/>
  <c r="Y70" i="18"/>
  <c r="R71" i="18"/>
  <c r="C71" i="18" s="1"/>
  <c r="V71" i="18"/>
  <c r="AA71" i="18"/>
  <c r="W72" i="18"/>
  <c r="AB72" i="18"/>
  <c r="X73" i="18"/>
  <c r="B74" i="18"/>
  <c r="S74" i="18"/>
  <c r="Y74" i="18"/>
  <c r="R75" i="18"/>
  <c r="C75" i="18" s="1"/>
  <c r="X75" i="18"/>
  <c r="B76" i="18"/>
  <c r="S76" i="18"/>
  <c r="Y76" i="18"/>
  <c r="U77" i="18"/>
  <c r="AA77" i="18"/>
  <c r="U78" i="18"/>
  <c r="AA78" i="18"/>
  <c r="V79" i="18"/>
  <c r="AB79" i="18"/>
  <c r="S80" i="18"/>
  <c r="X80" i="18"/>
  <c r="T81" i="18"/>
  <c r="Y81" i="18"/>
  <c r="R82" i="18"/>
  <c r="C82" i="18" s="1"/>
  <c r="U82" i="18"/>
  <c r="Z82" i="18"/>
  <c r="U83" i="18"/>
  <c r="Z83" i="18"/>
  <c r="V84" i="18"/>
  <c r="AA84" i="18"/>
  <c r="V85" i="18"/>
  <c r="AA85" i="18"/>
  <c r="T86" i="18"/>
  <c r="Z86" i="18"/>
  <c r="R87" i="18"/>
  <c r="C87" i="18" s="1"/>
  <c r="U87" i="18"/>
  <c r="AA87" i="18"/>
  <c r="V88" i="18"/>
  <c r="AB88" i="18"/>
  <c r="S89" i="18"/>
  <c r="X89" i="18"/>
  <c r="R90" i="18"/>
  <c r="C90" i="18" s="1"/>
  <c r="U90" i="18"/>
  <c r="Z90" i="18"/>
  <c r="W91" i="18"/>
  <c r="AB91" i="18"/>
  <c r="T92" i="18"/>
  <c r="Y92" i="18"/>
  <c r="V93" i="18"/>
  <c r="AA93" i="18"/>
  <c r="X94" i="18"/>
  <c r="B95" i="18"/>
  <c r="S95" i="18"/>
  <c r="Y95" i="18"/>
  <c r="S96" i="18"/>
  <c r="X96" i="18"/>
  <c r="AD96" i="18"/>
  <c r="AC97" i="18"/>
  <c r="T97" i="18"/>
  <c r="Z97" i="18"/>
  <c r="V98" i="18"/>
  <c r="AB98" i="18"/>
  <c r="W99" i="18"/>
  <c r="B100" i="18"/>
  <c r="W100" i="18"/>
  <c r="AB100" i="18"/>
  <c r="S101" i="18"/>
  <c r="X101" i="18"/>
  <c r="B102" i="18"/>
  <c r="U102" i="18"/>
  <c r="Z102" i="18"/>
  <c r="W103" i="18"/>
  <c r="AB103" i="18"/>
  <c r="S104" i="18"/>
  <c r="Y104" i="18"/>
  <c r="U105" i="18"/>
  <c r="AA105" i="18"/>
  <c r="W106" i="18"/>
  <c r="B107" i="18"/>
  <c r="T107" i="18"/>
  <c r="Y107" i="18"/>
  <c r="R108" i="18"/>
  <c r="C108" i="18" s="1"/>
  <c r="V108" i="18"/>
  <c r="AA108" i="18"/>
  <c r="S109" i="18"/>
  <c r="X109" i="18"/>
  <c r="B110" i="18"/>
  <c r="U110" i="18"/>
  <c r="Z110" i="18"/>
  <c r="R111" i="18"/>
  <c r="C111" i="18" s="1"/>
  <c r="V111" i="18"/>
  <c r="AA111" i="18"/>
  <c r="X112" i="18"/>
  <c r="B113" i="18"/>
  <c r="T113" i="18"/>
  <c r="Z113" i="18"/>
  <c r="R114" i="18"/>
  <c r="C114" i="18" s="1"/>
  <c r="U114" i="18"/>
  <c r="AA114" i="18"/>
  <c r="U115" i="18"/>
  <c r="AA115" i="18"/>
  <c r="B116" i="18"/>
  <c r="T116" i="18"/>
  <c r="Z116" i="18"/>
  <c r="R117" i="18"/>
  <c r="C117" i="18" s="1"/>
  <c r="V117" i="18"/>
  <c r="AB117" i="18"/>
  <c r="S118" i="18"/>
  <c r="X118" i="18"/>
  <c r="T119" i="18"/>
  <c r="Y119" i="18"/>
  <c r="B122" i="18"/>
  <c r="T124" i="18"/>
  <c r="Y124" i="18"/>
  <c r="B127" i="18"/>
  <c r="B128" i="18"/>
  <c r="R129" i="18"/>
  <c r="C129" i="18" s="1"/>
  <c r="B130" i="18"/>
  <c r="B131" i="18"/>
  <c r="B132" i="18"/>
  <c r="S132" i="18"/>
  <c r="X132" i="18"/>
  <c r="W140" i="18"/>
  <c r="AB140" i="18"/>
  <c r="S141" i="18"/>
  <c r="Y141" i="18"/>
  <c r="R142" i="18"/>
  <c r="C142" i="18" s="1"/>
  <c r="U142" i="18"/>
  <c r="AA142" i="18"/>
  <c r="V143" i="18"/>
  <c r="AB143" i="18"/>
  <c r="S144" i="18"/>
  <c r="X144" i="18"/>
  <c r="S145" i="18"/>
  <c r="X145" i="18"/>
  <c r="T146" i="18"/>
  <c r="Y146" i="18"/>
  <c r="V147" i="18"/>
  <c r="AA147" i="18"/>
  <c r="W148" i="18"/>
  <c r="AB148" i="18"/>
  <c r="S149" i="18"/>
  <c r="X149" i="18"/>
  <c r="B150" i="18"/>
  <c r="T150" i="18"/>
  <c r="Y150" i="18"/>
  <c r="R151" i="18"/>
  <c r="C151" i="18" s="1"/>
  <c r="U151" i="18"/>
  <c r="Z151" i="18"/>
  <c r="W152" i="18"/>
  <c r="AB152" i="18"/>
  <c r="S153" i="18"/>
  <c r="Y153" i="18"/>
  <c r="U154" i="18"/>
  <c r="AA154" i="18"/>
  <c r="W155" i="18"/>
  <c r="B156" i="18"/>
  <c r="S156" i="18"/>
  <c r="X156" i="18"/>
  <c r="U157" i="18"/>
  <c r="Z157" i="18"/>
  <c r="W158" i="18"/>
  <c r="AB158" i="18"/>
  <c r="T159" i="18"/>
  <c r="Y159" i="18"/>
  <c r="B161" i="18"/>
  <c r="B162" i="18"/>
  <c r="T162" i="18"/>
  <c r="Z162" i="18"/>
  <c r="R163" i="18"/>
  <c r="C163" i="18" s="1"/>
  <c r="U163" i="18"/>
  <c r="AA163" i="18"/>
  <c r="V164" i="18"/>
  <c r="AB164" i="18"/>
  <c r="S165" i="18"/>
  <c r="X165" i="18"/>
  <c r="T166" i="18"/>
  <c r="Y166" i="18"/>
  <c r="R167" i="18"/>
  <c r="C167" i="18" s="1"/>
  <c r="U167" i="18"/>
  <c r="Z167" i="18"/>
  <c r="W168" i="18"/>
  <c r="AB168" i="18"/>
  <c r="B170" i="18"/>
  <c r="S170" i="18"/>
  <c r="X170" i="18"/>
  <c r="U171" i="18"/>
  <c r="Z171" i="18"/>
  <c r="V172" i="18"/>
  <c r="AA172" i="18"/>
  <c r="W173" i="18"/>
  <c r="AB173" i="18"/>
  <c r="V174" i="18"/>
  <c r="AA174" i="18"/>
  <c r="X175" i="18"/>
  <c r="B176" i="18"/>
  <c r="T176" i="18"/>
  <c r="Z176" i="18"/>
  <c r="U177" i="18"/>
  <c r="AA177" i="18"/>
  <c r="W178" i="18"/>
  <c r="B179" i="18"/>
  <c r="T179" i="18"/>
  <c r="Y179" i="18"/>
  <c r="R180" i="18"/>
  <c r="C180" i="18" s="1"/>
  <c r="U180" i="18"/>
  <c r="Z180" i="18"/>
  <c r="T9" i="18"/>
  <c r="W10" i="18"/>
  <c r="R11" i="18"/>
  <c r="C11" i="18" s="1"/>
  <c r="AA11" i="18"/>
  <c r="U14" i="18"/>
  <c r="Z15" i="18"/>
  <c r="AA16" i="18"/>
  <c r="R18" i="18"/>
  <c r="C18" i="18" s="1"/>
  <c r="T22" i="18"/>
  <c r="T23" i="18"/>
  <c r="S26" i="18"/>
  <c r="Y27" i="18"/>
  <c r="R29" i="18"/>
  <c r="C29" i="18" s="1"/>
  <c r="AB29" i="18"/>
  <c r="AA30" i="18"/>
  <c r="R32" i="18"/>
  <c r="C32" i="18" s="1"/>
  <c r="U34" i="18"/>
  <c r="S35" i="18"/>
  <c r="T36" i="18"/>
  <c r="T37" i="18"/>
  <c r="S39" i="18"/>
  <c r="S40" i="18"/>
  <c r="X43" i="18"/>
  <c r="R44" i="18"/>
  <c r="C44" i="18" s="1"/>
  <c r="X44" i="18"/>
  <c r="W45" i="18"/>
  <c r="AB46" i="18"/>
  <c r="Y47" i="18"/>
  <c r="Y48" i="18"/>
  <c r="X49" i="18"/>
  <c r="V51" i="18"/>
  <c r="T52" i="18"/>
  <c r="U53" i="18"/>
  <c r="T54" i="18"/>
  <c r="S55" i="18"/>
  <c r="R57" i="18"/>
  <c r="C57" i="18" s="1"/>
  <c r="Y57" i="18"/>
  <c r="V58" i="18"/>
  <c r="AB59" i="18"/>
  <c r="Y60" i="18"/>
  <c r="V61" i="18"/>
  <c r="AA61" i="18"/>
  <c r="U62" i="18"/>
  <c r="R63" i="18"/>
  <c r="C63" i="18" s="1"/>
  <c r="AB63" i="18"/>
  <c r="Y64" i="18"/>
  <c r="T65" i="18"/>
  <c r="B68" i="18"/>
  <c r="Y68" i="18"/>
  <c r="T69" i="18"/>
  <c r="R70" i="18"/>
  <c r="C70" i="18" s="1"/>
  <c r="Z70" i="18"/>
  <c r="W71" i="18"/>
  <c r="S72" i="18"/>
  <c r="T73" i="18"/>
  <c r="R74" i="18"/>
  <c r="C74" i="18" s="1"/>
  <c r="Z74" i="18"/>
  <c r="T75" i="18"/>
  <c r="Y75" i="18"/>
  <c r="U76" i="18"/>
  <c r="Z76" i="18"/>
  <c r="W77" i="18"/>
  <c r="T80" i="18"/>
  <c r="R81" i="18"/>
  <c r="C81" i="18" s="1"/>
  <c r="AA81" i="18"/>
  <c r="V82" i="18"/>
  <c r="W84" i="18"/>
  <c r="B85" i="18"/>
  <c r="AB85" i="18"/>
  <c r="AA86" i="18"/>
  <c r="W87" i="18"/>
  <c r="AB87" i="18"/>
  <c r="B89" i="18"/>
  <c r="Z89" i="18"/>
  <c r="V90" i="18"/>
  <c r="AB90" i="18"/>
  <c r="X91" i="18"/>
  <c r="U92" i="18"/>
  <c r="AB93" i="18"/>
  <c r="Y94" i="18"/>
  <c r="U95" i="18"/>
  <c r="Z95" i="18"/>
  <c r="T96" i="18"/>
  <c r="AE96" i="18"/>
  <c r="V97" i="18"/>
  <c r="B99" i="18"/>
  <c r="Y99" i="18"/>
  <c r="S100" i="18"/>
  <c r="X100" i="18"/>
  <c r="T101" i="18"/>
  <c r="Y101" i="18"/>
  <c r="V102" i="18"/>
  <c r="AA102" i="18"/>
  <c r="X103" i="18"/>
  <c r="U104" i="18"/>
  <c r="R105" i="18"/>
  <c r="C105" i="18" s="1"/>
  <c r="AB105" i="18"/>
  <c r="Y106" i="18"/>
  <c r="U107" i="18"/>
  <c r="AA107" i="18"/>
  <c r="W108" i="18"/>
  <c r="T109" i="18"/>
  <c r="R110" i="18"/>
  <c r="C110" i="18" s="1"/>
  <c r="AA110" i="18"/>
  <c r="W111" i="18"/>
  <c r="T112" i="18"/>
  <c r="R113" i="18"/>
  <c r="C113" i="18" s="1"/>
  <c r="AA113" i="18"/>
  <c r="W114" i="18"/>
  <c r="AB114" i="18"/>
  <c r="W115" i="18"/>
  <c r="AB115" i="18"/>
  <c r="AA116" i="18"/>
  <c r="X117" i="18"/>
  <c r="T118" i="18"/>
  <c r="AC31" i="18"/>
  <c r="AD25" i="18"/>
  <c r="AC36" i="18"/>
  <c r="AC38" i="18"/>
  <c r="AC57" i="18"/>
  <c r="AC63" i="18"/>
  <c r="AD76" i="18"/>
  <c r="AC77" i="18"/>
  <c r="AE86" i="18"/>
  <c r="AE87" i="18"/>
  <c r="AD88" i="18"/>
  <c r="AC93" i="18"/>
  <c r="AE102" i="18"/>
  <c r="AD99" i="18"/>
  <c r="AD100" i="18"/>
  <c r="AE105" i="18"/>
  <c r="AD110" i="18"/>
  <c r="AD130" i="18"/>
  <c r="AD132" i="18"/>
  <c r="AD143" i="18"/>
  <c r="AE146" i="18"/>
  <c r="AC153" i="18"/>
  <c r="AC157" i="18"/>
  <c r="AD164" i="18"/>
  <c r="AD165" i="18"/>
  <c r="AE169" i="18"/>
  <c r="AC173" i="18"/>
  <c r="AD177" i="18"/>
  <c r="V12" i="18"/>
  <c r="AA13" i="18"/>
  <c r="R15" i="18"/>
  <c r="C15" i="18" s="1"/>
  <c r="T17" i="18"/>
  <c r="X18" i="18"/>
  <c r="AB19" i="18"/>
  <c r="T20" i="18"/>
  <c r="AB20" i="18"/>
  <c r="Y21" i="18"/>
  <c r="AA22" i="18"/>
  <c r="AA23" i="18"/>
  <c r="Z24" i="18"/>
  <c r="Y25" i="18"/>
  <c r="Y26" i="18"/>
  <c r="W28" i="18"/>
  <c r="V29" i="18"/>
  <c r="T30" i="18"/>
  <c r="X31" i="18"/>
  <c r="W32" i="18"/>
  <c r="W33" i="18"/>
  <c r="R34" i="18"/>
  <c r="C34" i="18" s="1"/>
  <c r="AB34" i="18"/>
  <c r="AA35" i="18"/>
  <c r="AA36" i="18"/>
  <c r="Z37" i="18"/>
  <c r="Z38" i="18"/>
  <c r="Y39" i="18"/>
  <c r="Z40" i="18"/>
  <c r="Y41" i="18"/>
  <c r="X42" i="18"/>
  <c r="U46" i="18"/>
  <c r="W50" i="18"/>
  <c r="AB51" i="18"/>
  <c r="AB52" i="18"/>
  <c r="AA53" i="18"/>
  <c r="AA54" i="18"/>
  <c r="AA55" i="18"/>
  <c r="X56" i="18"/>
  <c r="T57" i="18"/>
  <c r="AA58" i="18"/>
  <c r="W59" i="18"/>
  <c r="T60" i="18"/>
  <c r="AC62" i="18"/>
  <c r="Z62" i="18"/>
  <c r="W63" i="18"/>
  <c r="S64" i="18"/>
  <c r="R65" i="18"/>
  <c r="C65" i="18" s="1"/>
  <c r="Z65" i="18"/>
  <c r="U66" i="18"/>
  <c r="AA66" i="18"/>
  <c r="W67" i="18"/>
  <c r="T68" i="18"/>
  <c r="R69" i="18"/>
  <c r="C69" i="18" s="1"/>
  <c r="Y69" i="18"/>
  <c r="U70" i="18"/>
  <c r="AB71" i="18"/>
  <c r="X72" i="18"/>
  <c r="B73" i="18"/>
  <c r="Y73" i="18"/>
  <c r="U74" i="18"/>
  <c r="R77" i="18"/>
  <c r="C77" i="18" s="1"/>
  <c r="AB77" i="18"/>
  <c r="W78" i="18"/>
  <c r="AB78" i="18"/>
  <c r="X79" i="18"/>
  <c r="B80" i="18"/>
  <c r="Z80" i="18"/>
  <c r="U81" i="18"/>
  <c r="AB82" i="18"/>
  <c r="V83" i="18"/>
  <c r="AB83" i="18"/>
  <c r="W85" i="18"/>
  <c r="V86" i="18"/>
  <c r="X88" i="18"/>
  <c r="T89" i="18"/>
  <c r="S91" i="18"/>
  <c r="Z92" i="18"/>
  <c r="W93" i="18"/>
  <c r="T94" i="18"/>
  <c r="R96" i="18"/>
  <c r="C96" i="18" s="1"/>
  <c r="Z96" i="18"/>
  <c r="AD97" i="18"/>
  <c r="AA97" i="18"/>
  <c r="X98" i="18"/>
  <c r="S99" i="18"/>
  <c r="S103" i="18"/>
  <c r="B104" i="18"/>
  <c r="Z104" i="18"/>
  <c r="W105" i="18"/>
  <c r="S106" i="18"/>
  <c r="B109" i="18"/>
  <c r="Y109" i="18"/>
  <c r="V110" i="18"/>
  <c r="AB111" i="18"/>
  <c r="Y112" i="18"/>
  <c r="V113" i="18"/>
  <c r="V116" i="18"/>
  <c r="B118" i="18"/>
  <c r="AD46" i="18"/>
  <c r="AD79" i="18"/>
  <c r="AC81" i="18"/>
  <c r="AC95" i="18"/>
  <c r="AE100" i="18"/>
  <c r="AE110" i="18"/>
  <c r="AC116" i="18"/>
  <c r="AD117" i="18"/>
  <c r="AD126" i="18"/>
  <c r="AD162" i="18"/>
  <c r="AC172" i="18"/>
  <c r="AC176" i="18"/>
  <c r="AE174" i="18"/>
  <c r="AC178" i="18"/>
  <c r="Z9" i="18"/>
  <c r="B11" i="18"/>
  <c r="R12" i="18"/>
  <c r="C12" i="18" s="1"/>
  <c r="V13" i="18"/>
  <c r="AA14" i="18"/>
  <c r="B17" i="18"/>
  <c r="AC20" i="18"/>
  <c r="T21" i="18"/>
  <c r="X22" i="18"/>
  <c r="U23" i="18"/>
  <c r="U24" i="18"/>
  <c r="S25" i="18"/>
  <c r="T26" i="18"/>
  <c r="T27" i="18"/>
  <c r="R30" i="18"/>
  <c r="C30" i="18" s="1"/>
  <c r="AB30" i="18"/>
  <c r="S31" i="18"/>
  <c r="AD34" i="18"/>
  <c r="B35" i="18"/>
  <c r="B36" i="18"/>
  <c r="B37" i="18"/>
  <c r="V37" i="18"/>
  <c r="U38" i="18"/>
  <c r="T39" i="18"/>
  <c r="U40" i="18"/>
  <c r="AA41" i="18"/>
  <c r="AB42" i="18"/>
  <c r="Y43" i="18"/>
  <c r="Z44" i="18"/>
  <c r="Y45" i="18"/>
  <c r="W46" i="18"/>
  <c r="S47" i="18"/>
  <c r="T48" i="18"/>
  <c r="B53" i="18"/>
  <c r="AB54" i="18"/>
  <c r="W55" i="18"/>
  <c r="T56" i="18"/>
  <c r="AA57" i="18"/>
  <c r="W58" i="18"/>
  <c r="S59" i="18"/>
  <c r="Z60" i="18"/>
  <c r="W61" i="18"/>
  <c r="AE62" i="18"/>
  <c r="X63" i="18"/>
  <c r="U64" i="18"/>
  <c r="AA65" i="18"/>
  <c r="W66" i="18"/>
  <c r="S67" i="18"/>
  <c r="AA68" i="18"/>
  <c r="U69" i="18"/>
  <c r="AB70" i="18"/>
  <c r="X71" i="18"/>
  <c r="T72" i="18"/>
  <c r="R73" i="18"/>
  <c r="C73" i="18" s="1"/>
  <c r="Z73" i="18"/>
  <c r="V74" i="18"/>
  <c r="AD75" i="18"/>
  <c r="Z75" i="18"/>
  <c r="V76" i="18"/>
  <c r="S77" i="18"/>
  <c r="B78" i="18"/>
  <c r="T78" i="18"/>
  <c r="R79" i="18"/>
  <c r="C79" i="18" s="1"/>
  <c r="Z79" i="18"/>
  <c r="W80" i="18"/>
  <c r="S81" i="18"/>
  <c r="B82" i="18"/>
  <c r="Y82" i="18"/>
  <c r="B84" i="18"/>
  <c r="U84" i="18"/>
  <c r="R85" i="18"/>
  <c r="C85" i="18" s="1"/>
  <c r="X85" i="18"/>
  <c r="X86" i="18"/>
  <c r="T87" i="18"/>
  <c r="Y88" i="18"/>
  <c r="V89" i="18"/>
  <c r="B91" i="18"/>
  <c r="Z91" i="18"/>
  <c r="V92" i="18"/>
  <c r="S93" i="18"/>
  <c r="Z94" i="18"/>
  <c r="V95" i="18"/>
  <c r="AA96" i="18"/>
  <c r="AB97" i="18"/>
  <c r="Y98" i="18"/>
  <c r="U99" i="18"/>
  <c r="R100" i="18"/>
  <c r="C100" i="18" s="1"/>
  <c r="Z100" i="18"/>
  <c r="U101" i="18"/>
  <c r="B103" i="18"/>
  <c r="Y103" i="18"/>
  <c r="V104" i="18"/>
  <c r="S105" i="18"/>
  <c r="B106" i="18"/>
  <c r="Z106" i="18"/>
  <c r="W107" i="18"/>
  <c r="S108" i="18"/>
  <c r="AA109" i="18"/>
  <c r="W110" i="18"/>
  <c r="S111" i="18"/>
  <c r="Z112" i="18"/>
  <c r="W113" i="18"/>
  <c r="S114" i="18"/>
  <c r="B115" i="18"/>
  <c r="T115" i="18"/>
  <c r="AE115" i="18"/>
  <c r="AB116" i="18"/>
  <c r="Y117" i="18"/>
  <c r="V118" i="18"/>
  <c r="AB118" i="18"/>
  <c r="U119" i="18"/>
  <c r="AB119" i="18"/>
  <c r="X124" i="18"/>
  <c r="Y132" i="18"/>
  <c r="B134" i="18"/>
  <c r="U140" i="18"/>
  <c r="B141" i="18"/>
  <c r="V141" i="18"/>
  <c r="B142" i="18"/>
  <c r="W142" i="18"/>
  <c r="B143" i="18"/>
  <c r="U143" i="18"/>
  <c r="B144" i="18"/>
  <c r="V144" i="18"/>
  <c r="AB144" i="18"/>
  <c r="T145" i="18"/>
  <c r="AA145" i="18"/>
  <c r="S146" i="18"/>
  <c r="AA146" i="18"/>
  <c r="S147" i="18"/>
  <c r="Z147" i="18"/>
  <c r="S148" i="18"/>
  <c r="Z148" i="18"/>
  <c r="Y149" i="18"/>
  <c r="X150" i="18"/>
  <c r="W151" i="18"/>
  <c r="R152" i="18"/>
  <c r="C152" i="18" s="1"/>
  <c r="X152" i="18"/>
  <c r="W153" i="18"/>
  <c r="R154" i="18"/>
  <c r="C154" i="18" s="1"/>
  <c r="X154" i="18"/>
  <c r="R155" i="18"/>
  <c r="C155" i="18" s="1"/>
  <c r="Y155" i="18"/>
  <c r="R156" i="18"/>
  <c r="C156" i="18" s="1"/>
  <c r="W156" i="18"/>
  <c r="R157" i="18"/>
  <c r="C157" i="18" s="1"/>
  <c r="X157" i="18"/>
  <c r="X158" i="18"/>
  <c r="R159" i="18"/>
  <c r="C159" i="18" s="1"/>
  <c r="X159" i="18"/>
  <c r="R161" i="18"/>
  <c r="C161" i="18" s="1"/>
  <c r="S162" i="18"/>
  <c r="AA162" i="18"/>
  <c r="S163" i="18"/>
  <c r="Y163" i="18"/>
  <c r="Y164" i="18"/>
  <c r="Z165" i="18"/>
  <c r="X166" i="18"/>
  <c r="X167" i="18"/>
  <c r="R168" i="18"/>
  <c r="C168" i="18" s="1"/>
  <c r="X168" i="18"/>
  <c r="Z170" i="18"/>
  <c r="Y171" i="18"/>
  <c r="Y172" i="18"/>
  <c r="R173" i="18"/>
  <c r="C173" i="18" s="1"/>
  <c r="X173" i="18"/>
  <c r="S174" i="18"/>
  <c r="Z174" i="18"/>
  <c r="T175" i="18"/>
  <c r="Z175" i="18"/>
  <c r="S176" i="18"/>
  <c r="AA176" i="18"/>
  <c r="S177" i="18"/>
  <c r="Y177" i="18"/>
  <c r="S178" i="18"/>
  <c r="Z178" i="18"/>
  <c r="S179" i="18"/>
  <c r="AA179" i="18"/>
  <c r="Y180" i="18"/>
  <c r="AD95" i="18"/>
  <c r="AE99" i="18"/>
  <c r="AE103" i="18"/>
  <c r="AD109" i="18"/>
  <c r="AC112" i="18"/>
  <c r="AC129" i="18"/>
  <c r="AC131" i="18"/>
  <c r="AE143" i="18"/>
  <c r="AD158" i="18"/>
  <c r="AE160" i="18"/>
  <c r="AC179" i="18"/>
  <c r="AD176" i="18"/>
  <c r="AC10" i="18"/>
  <c r="T11" i="18"/>
  <c r="X12" i="18"/>
  <c r="B14" i="18"/>
  <c r="T15" i="18"/>
  <c r="S18" i="18"/>
  <c r="U19" i="18"/>
  <c r="V20" i="18"/>
  <c r="AB21" i="18"/>
  <c r="W23" i="18"/>
  <c r="V24" i="18"/>
  <c r="V25" i="18"/>
  <c r="U26" i="18"/>
  <c r="U27" i="18"/>
  <c r="U28" i="18"/>
  <c r="T31" i="18"/>
  <c r="T32" i="18"/>
  <c r="S33" i="18"/>
  <c r="AE34" i="18"/>
  <c r="R37" i="18"/>
  <c r="C37" i="18" s="1"/>
  <c r="AB37" i="18"/>
  <c r="V38" i="18"/>
  <c r="W39" i="18"/>
  <c r="V40" i="18"/>
  <c r="S41" i="18"/>
  <c r="S42" i="18"/>
  <c r="AB43" i="18"/>
  <c r="AA44" i="18"/>
  <c r="AA45" i="18"/>
  <c r="Y46" i="18"/>
  <c r="U47" i="18"/>
  <c r="U48" i="18"/>
  <c r="U49" i="18"/>
  <c r="S50" i="18"/>
  <c r="R53" i="18"/>
  <c r="C53" i="18" s="1"/>
  <c r="R54" i="18"/>
  <c r="C54" i="18" s="1"/>
  <c r="AB55" i="18"/>
  <c r="V56" i="18"/>
  <c r="AB57" i="18"/>
  <c r="Y58" i="18"/>
  <c r="T59" i="18"/>
  <c r="R60" i="18"/>
  <c r="C60" i="18" s="1"/>
  <c r="AB60" i="18"/>
  <c r="X61" i="18"/>
  <c r="B63" i="18"/>
  <c r="Y63" i="18"/>
  <c r="V64" i="18"/>
  <c r="AB65" i="18"/>
  <c r="X66" i="18"/>
  <c r="U67" i="18"/>
  <c r="R68" i="18"/>
  <c r="C68" i="18" s="1"/>
  <c r="AB68" i="18"/>
  <c r="W69" i="18"/>
  <c r="B71" i="18"/>
  <c r="Z71" i="18"/>
  <c r="U72" i="18"/>
  <c r="AB73" i="18"/>
  <c r="W74" i="18"/>
  <c r="AE75" i="18"/>
  <c r="AB75" i="18"/>
  <c r="W76" i="18"/>
  <c r="T77" i="18"/>
  <c r="R78" i="18"/>
  <c r="C78" i="18" s="1"/>
  <c r="X78" i="18"/>
  <c r="T79" i="18"/>
  <c r="R80" i="18"/>
  <c r="C80" i="18" s="1"/>
  <c r="AA80" i="18"/>
  <c r="W81" i="18"/>
  <c r="B83" i="18"/>
  <c r="T83" i="18"/>
  <c r="Y84" i="18"/>
  <c r="Z85" i="18"/>
  <c r="AB86" i="18"/>
  <c r="X87" i="18"/>
  <c r="Z88" i="18"/>
  <c r="W89" i="18"/>
  <c r="T90" i="18"/>
  <c r="R91" i="18"/>
  <c r="C91" i="18" s="1"/>
  <c r="AA91" i="18"/>
  <c r="X92" i="18"/>
  <c r="T93" i="18"/>
  <c r="R94" i="18"/>
  <c r="C94" i="18" s="1"/>
  <c r="AB94" i="18"/>
  <c r="W95" i="18"/>
  <c r="AB96" i="18"/>
  <c r="S97" i="18"/>
  <c r="R98" i="18"/>
  <c r="C98" i="18" s="1"/>
  <c r="Z98" i="18"/>
  <c r="V99" i="18"/>
  <c r="AA100" i="18"/>
  <c r="W101" i="18"/>
  <c r="S102" i="18"/>
  <c r="R103" i="18"/>
  <c r="C103" i="18" s="1"/>
  <c r="AA103" i="18"/>
  <c r="W104" i="18"/>
  <c r="T105" i="18"/>
  <c r="R106" i="18"/>
  <c r="C106" i="18" s="1"/>
  <c r="AA106" i="18"/>
  <c r="X107" i="18"/>
  <c r="U108" i="18"/>
  <c r="R109" i="18"/>
  <c r="C109" i="18" s="1"/>
  <c r="AB109" i="18"/>
  <c r="Y110" i="18"/>
  <c r="T111" i="18"/>
  <c r="R112" i="18"/>
  <c r="C112" i="18" s="1"/>
  <c r="AB112" i="18"/>
  <c r="X113" i="18"/>
  <c r="T114" i="18"/>
  <c r="R115" i="18"/>
  <c r="C115" i="18" s="1"/>
  <c r="X115" i="18"/>
  <c r="S116" i="18"/>
  <c r="Z117" i="18"/>
  <c r="W118" i="18"/>
  <c r="R119" i="18"/>
  <c r="C119" i="18" s="1"/>
  <c r="W119" i="18"/>
  <c r="B120" i="18"/>
  <c r="S124" i="18"/>
  <c r="AA124" i="18"/>
  <c r="B126" i="18"/>
  <c r="R130" i="18"/>
  <c r="C130" i="18" s="1"/>
  <c r="T132" i="18"/>
  <c r="AA132" i="18"/>
  <c r="R133" i="18"/>
  <c r="C133" i="18" s="1"/>
  <c r="R140" i="18"/>
  <c r="C140" i="18" s="1"/>
  <c r="X140" i="18"/>
  <c r="R141" i="18"/>
  <c r="C141" i="18" s="1"/>
  <c r="W141" i="18"/>
  <c r="X142" i="18"/>
  <c r="R143" i="18"/>
  <c r="C143" i="18" s="1"/>
  <c r="X143" i="18"/>
  <c r="W144" i="18"/>
  <c r="R145" i="18"/>
  <c r="C145" i="18" s="1"/>
  <c r="V145" i="18"/>
  <c r="AB145" i="18"/>
  <c r="U146" i="18"/>
  <c r="AB146" i="18"/>
  <c r="U147" i="18"/>
  <c r="B148" i="18"/>
  <c r="T148" i="18"/>
  <c r="AA148" i="18"/>
  <c r="T149" i="18"/>
  <c r="AA149" i="18"/>
  <c r="Z150" i="18"/>
  <c r="Y151" i="18"/>
  <c r="S152" i="18"/>
  <c r="Y152" i="18"/>
  <c r="Z153" i="18"/>
  <c r="S154" i="18"/>
  <c r="Y154" i="18"/>
  <c r="Z155" i="18"/>
  <c r="Z156" i="18"/>
  <c r="Y157" i="18"/>
  <c r="S158" i="18"/>
  <c r="Z158" i="18"/>
  <c r="Z159" i="18"/>
  <c r="S160" i="18"/>
  <c r="U161" i="18"/>
  <c r="V162" i="18"/>
  <c r="AB162" i="18"/>
  <c r="T163" i="18"/>
  <c r="AB163" i="18"/>
  <c r="T164" i="18"/>
  <c r="Z164" i="18"/>
  <c r="T165" i="18"/>
  <c r="AA165" i="18"/>
  <c r="S166" i="18"/>
  <c r="AA166" i="18"/>
  <c r="Y167" i="18"/>
  <c r="S168" i="18"/>
  <c r="Z168" i="18"/>
  <c r="T170" i="18"/>
  <c r="AA170" i="18"/>
  <c r="T171" i="18"/>
  <c r="AB171" i="18"/>
  <c r="S172" i="18"/>
  <c r="Z172" i="18"/>
  <c r="S173" i="18"/>
  <c r="Z173" i="18"/>
  <c r="T174" i="18"/>
  <c r="AB174" i="18"/>
  <c r="U175" i="18"/>
  <c r="AB175" i="18"/>
  <c r="V176" i="18"/>
  <c r="AB176" i="18"/>
  <c r="T177" i="18"/>
  <c r="AB177" i="18"/>
  <c r="U178" i="18"/>
  <c r="AA178" i="18"/>
  <c r="U179" i="18"/>
  <c r="AB179" i="18"/>
  <c r="T180" i="18"/>
  <c r="AB180" i="18"/>
  <c r="R9" i="18"/>
  <c r="C9" i="18" s="1"/>
  <c r="V11" i="18"/>
  <c r="AB12" i="18"/>
  <c r="U15" i="18"/>
  <c r="U16" i="18"/>
  <c r="AA18" i="18"/>
  <c r="Z20" i="18"/>
  <c r="R23" i="18"/>
  <c r="C23" i="18" s="1"/>
  <c r="AB24" i="18"/>
  <c r="AA25" i="18"/>
  <c r="Z27" i="18"/>
  <c r="Z28" i="18"/>
  <c r="W29" i="18"/>
  <c r="Z31" i="18"/>
  <c r="Y32" i="18"/>
  <c r="V34" i="18"/>
  <c r="V35" i="18"/>
  <c r="U36" i="18"/>
  <c r="AB39" i="18"/>
  <c r="U41" i="18"/>
  <c r="U42" i="18"/>
  <c r="S44" i="18"/>
  <c r="R47" i="18"/>
  <c r="C47" i="18" s="1"/>
  <c r="AA48" i="18"/>
  <c r="Z49" i="18"/>
  <c r="W51" i="18"/>
  <c r="W52" i="18"/>
  <c r="V54" i="18"/>
  <c r="B56" i="18"/>
  <c r="Z56" i="18"/>
  <c r="B59" i="18"/>
  <c r="X59" i="18"/>
  <c r="U60" i="18"/>
  <c r="AB61" i="18"/>
  <c r="V62" i="18"/>
  <c r="B64" i="18"/>
  <c r="Z64" i="18"/>
  <c r="U68" i="18"/>
  <c r="AA69" i="18"/>
  <c r="V70" i="18"/>
  <c r="S71" i="18"/>
  <c r="U73" i="18"/>
  <c r="AA74" i="18"/>
  <c r="U75" i="18"/>
  <c r="X77" i="18"/>
  <c r="Y78" i="18"/>
  <c r="X81" i="18"/>
  <c r="Z84" i="18"/>
  <c r="S86" i="18"/>
  <c r="Y87" i="18"/>
  <c r="T88" i="18"/>
  <c r="R89" i="18"/>
  <c r="C89" i="18" s="1"/>
  <c r="X90" i="18"/>
  <c r="T91" i="18"/>
  <c r="R92" i="18"/>
  <c r="C92" i="18" s="1"/>
  <c r="X93" i="18"/>
  <c r="U94" i="18"/>
  <c r="AA95" i="18"/>
  <c r="V96" i="18"/>
  <c r="B97" i="18"/>
  <c r="W97" i="18"/>
  <c r="T100" i="18"/>
  <c r="R101" i="18"/>
  <c r="C101" i="18" s="1"/>
  <c r="W102" i="18"/>
  <c r="T103" i="18"/>
  <c r="AA104" i="18"/>
  <c r="X105" i="18"/>
  <c r="R107" i="18"/>
  <c r="C107" i="18" s="1"/>
  <c r="AB107" i="18"/>
  <c r="U109" i="18"/>
  <c r="B111" i="18"/>
  <c r="X111" i="18"/>
  <c r="AB113" i="18"/>
  <c r="Y115" i="18"/>
  <c r="Z118" i="18"/>
  <c r="B121" i="18"/>
  <c r="B124" i="18"/>
  <c r="U124" i="18"/>
  <c r="S140" i="18"/>
  <c r="S142" i="18"/>
  <c r="Y142" i="18"/>
  <c r="Y143" i="18"/>
  <c r="Z144" i="18"/>
  <c r="R146" i="18"/>
  <c r="C146" i="18" s="1"/>
  <c r="B147" i="18"/>
  <c r="R148" i="18"/>
  <c r="C148" i="18" s="1"/>
  <c r="R149" i="18"/>
  <c r="C149" i="18" s="1"/>
  <c r="U149" i="18"/>
  <c r="U150" i="18"/>
  <c r="AB150" i="18"/>
  <c r="AA151" i="18"/>
  <c r="AA152" i="18"/>
  <c r="U153" i="18"/>
  <c r="T154" i="18"/>
  <c r="AC26" i="18"/>
  <c r="AD28" i="18"/>
  <c r="AD45" i="18"/>
  <c r="AC60" i="18"/>
  <c r="AD73" i="18"/>
  <c r="AC106" i="18"/>
  <c r="AE109" i="18"/>
  <c r="AB128" i="18"/>
  <c r="AE127" i="18"/>
  <c r="AE158" i="18"/>
  <c r="AE179" i="18"/>
  <c r="AC175" i="18"/>
  <c r="R14" i="18"/>
  <c r="C14" i="18" s="1"/>
  <c r="W17" i="18"/>
  <c r="W19" i="18"/>
  <c r="B22" i="18"/>
  <c r="AB23" i="18"/>
  <c r="AA26" i="18"/>
  <c r="V30" i="18"/>
  <c r="Y33" i="18"/>
  <c r="AA38" i="18"/>
  <c r="AA40" i="18"/>
  <c r="Z47" i="18"/>
  <c r="Y50" i="18"/>
  <c r="V53" i="18"/>
  <c r="U57" i="18"/>
  <c r="S63" i="18"/>
  <c r="V65" i="18"/>
  <c r="AB66" i="18"/>
  <c r="Y67" i="18"/>
  <c r="Y72" i="18"/>
  <c r="AA76" i="18"/>
  <c r="U79" i="18"/>
  <c r="AB80" i="18"/>
  <c r="T82" i="18"/>
  <c r="X83" i="18"/>
  <c r="S85" i="18"/>
  <c r="AA89" i="18"/>
  <c r="AB92" i="18"/>
  <c r="T98" i="18"/>
  <c r="Z99" i="18"/>
  <c r="AA101" i="18"/>
  <c r="R104" i="18"/>
  <c r="C104" i="18" s="1"/>
  <c r="U106" i="18"/>
  <c r="Y108" i="18"/>
  <c r="U112" i="18"/>
  <c r="X114" i="18"/>
  <c r="W116" i="18"/>
  <c r="T117" i="18"/>
  <c r="X119" i="18"/>
  <c r="AB124" i="18"/>
  <c r="R128" i="18"/>
  <c r="C128" i="18" s="1"/>
  <c r="R132" i="18"/>
  <c r="C132" i="18" s="1"/>
  <c r="U132" i="18"/>
  <c r="AB132" i="18"/>
  <c r="Y140" i="18"/>
  <c r="Z141" i="18"/>
  <c r="W145" i="18"/>
  <c r="W146" i="18"/>
  <c r="W147" i="18"/>
  <c r="V148" i="18"/>
  <c r="AB149" i="18"/>
  <c r="S151" i="18"/>
  <c r="T152" i="18"/>
  <c r="AA153" i="18"/>
  <c r="AC41" i="18"/>
  <c r="AD36" i="18"/>
  <c r="AC68" i="18"/>
  <c r="AE78" i="18"/>
  <c r="AE84" i="18"/>
  <c r="AE107" i="18"/>
  <c r="AD141" i="18"/>
  <c r="AE155" i="18"/>
  <c r="AC156" i="18"/>
  <c r="AC162" i="18"/>
  <c r="AE166" i="18"/>
  <c r="AE170" i="18"/>
  <c r="AC171" i="18"/>
  <c r="AD174" i="18"/>
  <c r="Y10" i="18"/>
  <c r="AB15" i="18"/>
  <c r="Z17" i="18"/>
  <c r="B20" i="18"/>
  <c r="R24" i="18"/>
  <c r="C24" i="18" s="1"/>
  <c r="AB27" i="18"/>
  <c r="AA31" i="18"/>
  <c r="W35" i="18"/>
  <c r="T43" i="18"/>
  <c r="AB48" i="18"/>
  <c r="X51" i="18"/>
  <c r="W54" i="18"/>
  <c r="AA56" i="18"/>
  <c r="B67" i="18"/>
  <c r="AB69" i="18"/>
  <c r="AA72" i="18"/>
  <c r="B77" i="18"/>
  <c r="B79" i="18"/>
  <c r="AB81" i="18"/>
  <c r="T85" i="18"/>
  <c r="S87" i="18"/>
  <c r="W96" i="18"/>
  <c r="S107" i="18"/>
  <c r="S110" i="18"/>
  <c r="S113" i="18"/>
  <c r="S115" i="18"/>
  <c r="AA118" i="18"/>
  <c r="B123" i="18"/>
  <c r="B125" i="18"/>
  <c r="AA140" i="18"/>
  <c r="AB142" i="18"/>
  <c r="AA144" i="18"/>
  <c r="X146" i="18"/>
  <c r="X148" i="18"/>
  <c r="B153" i="18"/>
  <c r="AB154" i="18"/>
  <c r="AA155" i="18"/>
  <c r="AA156" i="18"/>
  <c r="AB157" i="18"/>
  <c r="AA158" i="18"/>
  <c r="AB159" i="18"/>
  <c r="R162" i="18"/>
  <c r="C162" i="18" s="1"/>
  <c r="B164" i="18"/>
  <c r="B165" i="18"/>
  <c r="AB165" i="18"/>
  <c r="AB166" i="18"/>
  <c r="AB167" i="18"/>
  <c r="AA168" i="18"/>
  <c r="V170" i="18"/>
  <c r="V171" i="18"/>
  <c r="U172" i="18"/>
  <c r="T173" i="18"/>
  <c r="W174" i="18"/>
  <c r="V175" i="18"/>
  <c r="W176" i="18"/>
  <c r="W177" i="18"/>
  <c r="V178" i="18"/>
  <c r="W179" i="18"/>
  <c r="V180" i="18"/>
  <c r="B25" i="18"/>
  <c r="W30" i="18"/>
  <c r="X36" i="18"/>
  <c r="Z41" i="18"/>
  <c r="W62" i="18"/>
  <c r="Y77" i="18"/>
  <c r="X82" i="18"/>
  <c r="R86" i="18"/>
  <c r="C86" i="18" s="1"/>
  <c r="AB89" i="18"/>
  <c r="AA99" i="18"/>
  <c r="B108" i="18"/>
  <c r="S119" i="18"/>
  <c r="B155" i="18"/>
  <c r="AB156" i="18"/>
  <c r="R164" i="18"/>
  <c r="C164" i="18" s="1"/>
  <c r="B167" i="18"/>
  <c r="X171" i="18"/>
  <c r="V173" i="18"/>
  <c r="Y175" i="18"/>
  <c r="Y178" i="18"/>
  <c r="X180" i="18"/>
  <c r="AA28" i="18"/>
  <c r="AA32" i="18"/>
  <c r="B39" i="18"/>
  <c r="T44" i="18"/>
  <c r="AB49" i="18"/>
  <c r="Z59" i="18"/>
  <c r="W65" i="18"/>
  <c r="Z67" i="18"/>
  <c r="B75" i="18"/>
  <c r="Y79" i="18"/>
  <c r="S84" i="18"/>
  <c r="B88" i="18"/>
  <c r="B93" i="18"/>
  <c r="AB101" i="18"/>
  <c r="V151" i="18"/>
  <c r="B158" i="18"/>
  <c r="R166" i="18"/>
  <c r="C166" i="18" s="1"/>
  <c r="B168" i="18"/>
  <c r="W172" i="18"/>
  <c r="X177" i="18"/>
  <c r="S13" i="18"/>
  <c r="V16" i="18"/>
  <c r="B19" i="18"/>
  <c r="V22" i="18"/>
  <c r="B26" i="18"/>
  <c r="AA33" i="18"/>
  <c r="B40" i="18"/>
  <c r="AA42" i="18"/>
  <c r="AA50" i="18"/>
  <c r="X52" i="18"/>
  <c r="U55" i="18"/>
  <c r="W57" i="18"/>
  <c r="V60" i="18"/>
  <c r="T63" i="18"/>
  <c r="W68" i="18"/>
  <c r="T71" i="18"/>
  <c r="V73" i="18"/>
  <c r="V75" i="18"/>
  <c r="V80" i="18"/>
  <c r="Y90" i="18"/>
  <c r="Z93" i="18"/>
  <c r="B96" i="18"/>
  <c r="X97" i="18"/>
  <c r="Y102" i="18"/>
  <c r="Y105" i="18"/>
  <c r="Z108" i="18"/>
  <c r="Z111" i="18"/>
  <c r="Y114" i="18"/>
  <c r="U117" i="18"/>
  <c r="AA119" i="18"/>
  <c r="AA141" i="18"/>
  <c r="Z143" i="18"/>
  <c r="Z145" i="18"/>
  <c r="Y147" i="18"/>
  <c r="V150" i="18"/>
  <c r="B152" i="18"/>
  <c r="B154" i="18"/>
  <c r="U155" i="18"/>
  <c r="T156" i="18"/>
  <c r="T157" i="18"/>
  <c r="T158" i="18"/>
  <c r="U159" i="18"/>
  <c r="X160" i="18"/>
  <c r="W162" i="18"/>
  <c r="W163" i="18"/>
  <c r="U164" i="18"/>
  <c r="V165" i="18"/>
  <c r="U166" i="18"/>
  <c r="T167" i="18"/>
  <c r="T168" i="18"/>
  <c r="AB170" i="18"/>
  <c r="B172" i="18"/>
  <c r="B173" i="18"/>
  <c r="AA173" i="18"/>
  <c r="R175" i="18"/>
  <c r="C175" i="18" s="1"/>
  <c r="R177" i="18"/>
  <c r="C177" i="18" s="1"/>
  <c r="B178" i="18"/>
  <c r="B180" i="18"/>
  <c r="R170" i="18"/>
  <c r="C170" i="18" s="1"/>
  <c r="R171" i="18"/>
  <c r="C171" i="18" s="1"/>
  <c r="R179" i="18"/>
  <c r="C179" i="18" s="1"/>
  <c r="X70" i="18"/>
  <c r="R97" i="18"/>
  <c r="C97" i="18" s="1"/>
  <c r="B105" i="18"/>
  <c r="AC115" i="18"/>
  <c r="X116" i="18"/>
  <c r="R127" i="18"/>
  <c r="C127" i="18" s="1"/>
  <c r="U141" i="18"/>
  <c r="T143" i="18"/>
  <c r="V153" i="18"/>
  <c r="B160" i="18"/>
  <c r="R169" i="18"/>
  <c r="C169" i="18" s="1"/>
  <c r="W170" i="18"/>
  <c r="X174" i="18"/>
  <c r="X176" i="18"/>
  <c r="X179" i="18"/>
  <c r="X9" i="18"/>
  <c r="X14" i="18"/>
  <c r="B27" i="18"/>
  <c r="Z29" i="18"/>
  <c r="X34" i="18"/>
  <c r="U37" i="18"/>
  <c r="T45" i="18"/>
  <c r="B48" i="18"/>
  <c r="Y53" i="18"/>
  <c r="S58" i="18"/>
  <c r="S61" i="18"/>
  <c r="S66" i="18"/>
  <c r="R72" i="18"/>
  <c r="C72" i="18" s="1"/>
  <c r="S78" i="18"/>
  <c r="Y83" i="18"/>
  <c r="W86" i="18"/>
  <c r="U88" i="18"/>
  <c r="V91" i="18"/>
  <c r="V94" i="18"/>
  <c r="U98" i="18"/>
  <c r="V100" i="18"/>
  <c r="U103" i="18"/>
  <c r="V106" i="18"/>
  <c r="W109" i="18"/>
  <c r="V112" i="18"/>
  <c r="W124" i="18"/>
  <c r="R131" i="18"/>
  <c r="C131" i="18" s="1"/>
  <c r="W132" i="18"/>
  <c r="T140" i="18"/>
  <c r="T142" i="18"/>
  <c r="T144" i="18"/>
  <c r="W149" i="18"/>
  <c r="B151" i="18"/>
  <c r="U152" i="18"/>
  <c r="W154" i="18"/>
  <c r="V155" i="18"/>
  <c r="V156" i="18"/>
  <c r="V157" i="18"/>
  <c r="V158" i="18"/>
  <c r="V159" i="18"/>
  <c r="X162" i="18"/>
  <c r="X163" i="18"/>
  <c r="X164" i="18"/>
  <c r="W165" i="18"/>
  <c r="W166" i="18"/>
  <c r="V167" i="18"/>
  <c r="V168" i="18"/>
  <c r="W161" i="18"/>
  <c r="AB169" i="18"/>
  <c r="O26" i="6"/>
  <c r="U26" i="6" s="1"/>
  <c r="L26" i="6"/>
  <c r="R26" i="6" s="1"/>
  <c r="U160" i="18"/>
  <c r="V160" i="18"/>
  <c r="W169" i="18"/>
  <c r="AB161" i="18"/>
  <c r="K113" i="18"/>
  <c r="V113" i="5"/>
  <c r="Z169" i="18"/>
  <c r="O38" i="6"/>
  <c r="L38" i="6"/>
  <c r="L54" i="6"/>
  <c r="O54" i="6"/>
  <c r="O75" i="6"/>
  <c r="L75" i="6"/>
  <c r="O82" i="6"/>
  <c r="L82" i="6"/>
  <c r="O89" i="6"/>
  <c r="L89" i="6"/>
  <c r="L64" i="6"/>
  <c r="O64" i="6"/>
  <c r="O80" i="6"/>
  <c r="L80" i="6"/>
  <c r="Y32" i="4"/>
  <c r="Y33" i="4"/>
  <c r="K56" i="2"/>
  <c r="F13" i="6" s="1"/>
  <c r="K62" i="2"/>
  <c r="F17" i="6" s="1"/>
  <c r="K66" i="2"/>
  <c r="O16" i="11"/>
  <c r="M65" i="11"/>
  <c r="K57" i="2"/>
  <c r="F14" i="6" s="1"/>
  <c r="K61" i="2"/>
  <c r="F16" i="6" s="1"/>
  <c r="I259" i="9"/>
  <c r="F290" i="9"/>
  <c r="E16" i="4"/>
  <c r="G259" i="9"/>
  <c r="K259" i="9"/>
  <c r="M71" i="9"/>
  <c r="M115" i="9"/>
  <c r="I14" i="20"/>
  <c r="K64" i="2"/>
  <c r="F18" i="6" s="1"/>
  <c r="V167" i="5"/>
  <c r="K167" i="18"/>
  <c r="V179" i="5"/>
  <c r="K179" i="18"/>
  <c r="H98" i="20"/>
  <c r="O124" i="5"/>
  <c r="L124" i="18" s="1"/>
  <c r="L31" i="6"/>
  <c r="U31" i="6"/>
  <c r="R31" i="6"/>
  <c r="O31" i="6"/>
  <c r="R28" i="6"/>
  <c r="O28" i="6"/>
  <c r="U28" i="6"/>
  <c r="L28" i="6"/>
  <c r="V152" i="5"/>
  <c r="K152" i="18"/>
  <c r="AC44" i="20"/>
  <c r="AC19" i="20"/>
  <c r="AB19" i="20"/>
  <c r="AB44" i="20"/>
  <c r="O57" i="2"/>
  <c r="F30" i="6"/>
  <c r="K60" i="2"/>
  <c r="F15" i="6" s="1"/>
  <c r="R168" i="15"/>
  <c r="J120" i="6" s="1"/>
  <c r="X31" i="4"/>
  <c r="X32" i="4"/>
  <c r="X33" i="4"/>
  <c r="K47" i="2"/>
  <c r="F10" i="6" s="1"/>
  <c r="O49" i="2"/>
  <c r="F27" i="6"/>
  <c r="R152" i="15"/>
  <c r="L79" i="20" s="1"/>
  <c r="R166" i="15"/>
  <c r="L93" i="20" s="1"/>
  <c r="R164" i="15"/>
  <c r="L91" i="20" s="1"/>
  <c r="R162" i="15"/>
  <c r="L89" i="20" s="1"/>
  <c r="R160" i="15"/>
  <c r="L87" i="20" s="1"/>
  <c r="R158" i="15"/>
  <c r="L85" i="20" s="1"/>
  <c r="R156" i="15"/>
  <c r="L83" i="20" s="1"/>
  <c r="R154" i="15"/>
  <c r="L81" i="20" s="1"/>
  <c r="R151" i="15"/>
  <c r="L78" i="20" s="1"/>
  <c r="R163" i="15"/>
  <c r="L90" i="20" s="1"/>
  <c r="R159" i="15"/>
  <c r="L86" i="20" s="1"/>
  <c r="R155" i="15"/>
  <c r="L82" i="20" s="1"/>
  <c r="R157" i="15"/>
  <c r="L84" i="20" s="1"/>
  <c r="R153" i="15"/>
  <c r="L80" i="20" s="1"/>
  <c r="R165" i="15"/>
  <c r="L92" i="20" s="1"/>
  <c r="R161" i="15"/>
  <c r="L88" i="20" s="1"/>
  <c r="W32" i="4"/>
  <c r="W33" i="4"/>
  <c r="W31" i="4"/>
  <c r="J9" i="20"/>
  <c r="K176" i="18"/>
  <c r="V176" i="5"/>
  <c r="K154" i="18"/>
  <c r="V154" i="5"/>
  <c r="F105" i="6" l="1"/>
  <c r="M54" i="15"/>
  <c r="I17" i="6" s="1"/>
  <c r="K54" i="15"/>
  <c r="L54" i="15"/>
  <c r="H17" i="6" s="1"/>
  <c r="Q54" i="15"/>
  <c r="O54" i="15"/>
  <c r="L18" i="6"/>
  <c r="N54" i="15"/>
  <c r="J17" i="6" s="1"/>
  <c r="P54" i="15"/>
  <c r="L30" i="15"/>
  <c r="H13" i="6" s="1"/>
  <c r="L13" i="6" s="1"/>
  <c r="Q30" i="15"/>
  <c r="O30" i="15"/>
  <c r="J30" i="15"/>
  <c r="L17" i="6"/>
  <c r="N30" i="15"/>
  <c r="J13" i="6" s="1"/>
  <c r="L16" i="6"/>
  <c r="L12" i="6"/>
  <c r="K29" i="6"/>
  <c r="K28" i="6"/>
  <c r="AV10" i="5"/>
  <c r="AF7" i="5"/>
  <c r="AV20" i="5"/>
  <c r="AV153" i="5"/>
  <c r="AT153" i="5" s="1"/>
  <c r="AP153" i="5" s="1"/>
  <c r="AV119" i="5"/>
  <c r="AT119" i="5" s="1"/>
  <c r="AP119" i="5" s="1"/>
  <c r="AV169" i="5"/>
  <c r="AT169" i="5" s="1"/>
  <c r="AP169" i="5" s="1"/>
  <c r="AV161" i="5"/>
  <c r="AT161" i="5" s="1"/>
  <c r="AP161" i="5" s="1"/>
  <c r="AV118" i="5"/>
  <c r="AV146" i="5"/>
  <c r="AT146" i="5" s="1"/>
  <c r="AP146" i="5" s="1"/>
  <c r="AV62" i="5"/>
  <c r="AV160" i="5"/>
  <c r="AV61" i="5"/>
  <c r="AV97" i="5"/>
  <c r="AT97" i="5" s="1"/>
  <c r="AP97" i="5" s="1"/>
  <c r="AV34" i="5"/>
  <c r="AV133" i="5"/>
  <c r="AT133" i="5" s="1"/>
  <c r="AP133" i="5" s="1"/>
  <c r="AV47" i="5"/>
  <c r="AV75" i="5"/>
  <c r="AT75" i="5" s="1"/>
  <c r="AP75" i="5" s="1"/>
  <c r="AV110" i="5"/>
  <c r="AT110" i="5" s="1"/>
  <c r="AP110" i="5" s="1"/>
  <c r="AV111" i="5"/>
  <c r="AT111" i="5" s="1"/>
  <c r="AP111" i="5" s="1"/>
  <c r="AV141" i="5"/>
  <c r="AT141" i="5" s="1"/>
  <c r="AP141" i="5" s="1"/>
  <c r="AV112" i="5"/>
  <c r="AT112" i="5" s="1"/>
  <c r="AP112" i="5" s="1"/>
  <c r="AV124" i="5"/>
  <c r="K34" i="6"/>
  <c r="L34" i="6" s="1"/>
  <c r="R34" i="6" s="1"/>
  <c r="AA12" i="6"/>
  <c r="AE7" i="18"/>
  <c r="AC7" i="18"/>
  <c r="AD7" i="18"/>
  <c r="L15" i="6"/>
  <c r="L11" i="6"/>
  <c r="K33" i="6"/>
  <c r="K32" i="6"/>
  <c r="I29" i="20"/>
  <c r="T74" i="20"/>
  <c r="I15" i="20"/>
  <c r="M15" i="20"/>
  <c r="G16" i="11"/>
  <c r="G19" i="11" s="1"/>
  <c r="R29" i="6"/>
  <c r="J74" i="11"/>
  <c r="F272" i="9"/>
  <c r="Z27" i="20"/>
  <c r="AB27" i="20" s="1"/>
  <c r="G78" i="11"/>
  <c r="G76" i="11"/>
  <c r="G77" i="11"/>
  <c r="F121" i="6"/>
  <c r="L121" i="6" s="1"/>
  <c r="G79" i="11"/>
  <c r="F273" i="9"/>
  <c r="L29" i="6"/>
  <c r="F270" i="9"/>
  <c r="U29" i="6"/>
  <c r="E80" i="17"/>
  <c r="E57" i="17" s="1"/>
  <c r="O29" i="6"/>
  <c r="L124" i="5"/>
  <c r="M126" i="18"/>
  <c r="AB126" i="5" s="1"/>
  <c r="F44" i="6"/>
  <c r="F45" i="6" s="1"/>
  <c r="F271" i="9"/>
  <c r="S92" i="5"/>
  <c r="M92" i="5" s="1"/>
  <c r="K92" i="18" s="1"/>
  <c r="O67" i="2"/>
  <c r="C21" i="2" s="1"/>
  <c r="D12" i="4" s="1"/>
  <c r="M137" i="18"/>
  <c r="AB137" i="5" s="1"/>
  <c r="M41" i="18"/>
  <c r="AB41" i="5" s="1"/>
  <c r="M129" i="18"/>
  <c r="G129" i="18" s="1"/>
  <c r="M128" i="18"/>
  <c r="AB128" i="5" s="1"/>
  <c r="M169" i="18"/>
  <c r="AB169" i="5" s="1"/>
  <c r="M140" i="18"/>
  <c r="AB140" i="5" s="1"/>
  <c r="M179" i="18"/>
  <c r="J233" i="14" s="1"/>
  <c r="M44" i="18"/>
  <c r="AB44" i="5" s="1"/>
  <c r="M11" i="18"/>
  <c r="AB11" i="5" s="1"/>
  <c r="M173" i="18"/>
  <c r="G173" i="18" s="1"/>
  <c r="M148" i="18"/>
  <c r="AB148" i="5" s="1"/>
  <c r="M108" i="18"/>
  <c r="G108" i="18" s="1"/>
  <c r="M47" i="18"/>
  <c r="AB47" i="5" s="1"/>
  <c r="M174" i="18"/>
  <c r="AB174" i="5" s="1"/>
  <c r="M59" i="18"/>
  <c r="J435" i="8" s="1"/>
  <c r="J434" i="8" s="1"/>
  <c r="M78" i="18"/>
  <c r="AB78" i="5" s="1"/>
  <c r="M14" i="18"/>
  <c r="AB14" i="5" s="1"/>
  <c r="M45" i="18"/>
  <c r="G45" i="18" s="1"/>
  <c r="M133" i="18"/>
  <c r="AB133" i="5" s="1"/>
  <c r="M122" i="18"/>
  <c r="AB122" i="5" s="1"/>
  <c r="M127" i="18"/>
  <c r="AB127" i="5" s="1"/>
  <c r="M136" i="18"/>
  <c r="G136" i="18" s="1"/>
  <c r="M70" i="18"/>
  <c r="J54" i="9" s="1"/>
  <c r="F55" i="9" s="1"/>
  <c r="M64" i="18"/>
  <c r="G64" i="18" s="1"/>
  <c r="M125" i="18"/>
  <c r="AB125" i="5" s="1"/>
  <c r="M28" i="18"/>
  <c r="G28" i="18" s="1"/>
  <c r="M157" i="18"/>
  <c r="G157" i="18" s="1"/>
  <c r="M139" i="18"/>
  <c r="O156" i="11" s="1"/>
  <c r="M93" i="18"/>
  <c r="AB93" i="5" s="1"/>
  <c r="M114" i="18"/>
  <c r="O86" i="10" s="1"/>
  <c r="M135" i="18"/>
  <c r="G135" i="18" s="1"/>
  <c r="M100" i="18"/>
  <c r="AB100" i="5" s="1"/>
  <c r="M138" i="18"/>
  <c r="G138" i="18" s="1"/>
  <c r="M51" i="18"/>
  <c r="AB51" i="5" s="1"/>
  <c r="M30" i="18"/>
  <c r="AB30" i="5" s="1"/>
  <c r="M152" i="18"/>
  <c r="AB152" i="5" s="1"/>
  <c r="M111" i="18"/>
  <c r="AB111" i="5" s="1"/>
  <c r="M25" i="18"/>
  <c r="G25" i="18" s="1"/>
  <c r="M23" i="18"/>
  <c r="AB23" i="5" s="1"/>
  <c r="M168" i="18"/>
  <c r="AB168" i="5" s="1"/>
  <c r="M33" i="18"/>
  <c r="O254" i="8" s="1"/>
  <c r="O253" i="8" s="1"/>
  <c r="M39" i="18"/>
  <c r="AB39" i="5" s="1"/>
  <c r="M160" i="18"/>
  <c r="AB160" i="5" s="1"/>
  <c r="M159" i="18"/>
  <c r="AB159" i="5" s="1"/>
  <c r="M165" i="18"/>
  <c r="J62" i="14" s="1"/>
  <c r="M117" i="18"/>
  <c r="AB117" i="5" s="1"/>
  <c r="M88" i="18"/>
  <c r="O230" i="9" s="1"/>
  <c r="O229" i="9" s="1"/>
  <c r="M35" i="18"/>
  <c r="AB35" i="5" s="1"/>
  <c r="M50" i="18"/>
  <c r="G50" i="18" s="1"/>
  <c r="M166" i="18"/>
  <c r="G166" i="18" s="1"/>
  <c r="M154" i="18"/>
  <c r="AB154" i="5" s="1"/>
  <c r="M118" i="18"/>
  <c r="AB118" i="5" s="1"/>
  <c r="M69" i="18"/>
  <c r="G69" i="18" s="1"/>
  <c r="M82" i="18"/>
  <c r="G82" i="18" s="1"/>
  <c r="M72" i="18"/>
  <c r="J71" i="9" s="1"/>
  <c r="M149" i="18"/>
  <c r="J59" i="13" s="1"/>
  <c r="M91" i="18"/>
  <c r="AB91" i="5" s="1"/>
  <c r="M143" i="18"/>
  <c r="AB143" i="5" s="1"/>
  <c r="M141" i="18"/>
  <c r="AB141" i="5" s="1"/>
  <c r="M115" i="18"/>
  <c r="G115" i="18" s="1"/>
  <c r="M144" i="18"/>
  <c r="G144" i="18" s="1"/>
  <c r="M49" i="18"/>
  <c r="G49" i="18" s="1"/>
  <c r="M16" i="18"/>
  <c r="AB16" i="5" s="1"/>
  <c r="M171" i="18"/>
  <c r="G171" i="18" s="1"/>
  <c r="M116" i="18"/>
  <c r="AB116" i="5" s="1"/>
  <c r="M89" i="18"/>
  <c r="G89" i="18" s="1"/>
  <c r="M42" i="18"/>
  <c r="G42" i="18" s="1"/>
  <c r="M178" i="18"/>
  <c r="AB178" i="5" s="1"/>
  <c r="M162" i="18"/>
  <c r="AB162" i="5" s="1"/>
  <c r="M40" i="18"/>
  <c r="G40" i="18" s="1"/>
  <c r="M24" i="18"/>
  <c r="AB24" i="5" s="1"/>
  <c r="M103" i="18"/>
  <c r="AB103" i="5" s="1"/>
  <c r="M54" i="18"/>
  <c r="AB54" i="5" s="1"/>
  <c r="M109" i="18"/>
  <c r="AB109" i="5" s="1"/>
  <c r="M96" i="18"/>
  <c r="G96" i="18" s="1"/>
  <c r="M75" i="18"/>
  <c r="AB75" i="5" s="1"/>
  <c r="M62" i="18"/>
  <c r="AB62" i="5" s="1"/>
  <c r="M142" i="18"/>
  <c r="J7" i="13" s="1"/>
  <c r="M98" i="18"/>
  <c r="AB98" i="5" s="1"/>
  <c r="M86" i="18"/>
  <c r="AB86" i="5" s="1"/>
  <c r="M167" i="18"/>
  <c r="G167" i="18" s="1"/>
  <c r="M158" i="18"/>
  <c r="G158" i="18" s="1"/>
  <c r="M105" i="18"/>
  <c r="G105" i="18" s="1"/>
  <c r="M79" i="18"/>
  <c r="AB79" i="5" s="1"/>
  <c r="M119" i="18"/>
  <c r="AB119" i="5" s="1"/>
  <c r="M110" i="18"/>
  <c r="J7" i="11" s="1"/>
  <c r="M56" i="18"/>
  <c r="J416" i="8" s="1"/>
  <c r="M10" i="18"/>
  <c r="AB10" i="5" s="1"/>
  <c r="M147" i="18"/>
  <c r="G147" i="18" s="1"/>
  <c r="M132" i="18"/>
  <c r="AB132" i="5" s="1"/>
  <c r="M106" i="18"/>
  <c r="AB106" i="5" s="1"/>
  <c r="M83" i="18"/>
  <c r="G83" i="18" s="1"/>
  <c r="M76" i="18"/>
  <c r="AB76" i="5" s="1"/>
  <c r="M65" i="18"/>
  <c r="J17" i="9" s="1"/>
  <c r="M53" i="18"/>
  <c r="AB53" i="5" s="1"/>
  <c r="M17" i="18"/>
  <c r="J100" i="8" s="1"/>
  <c r="M150" i="18"/>
  <c r="AB150" i="5" s="1"/>
  <c r="M94" i="18"/>
  <c r="G94" i="18" s="1"/>
  <c r="M90" i="18"/>
  <c r="AB90" i="5" s="1"/>
  <c r="M73" i="18"/>
  <c r="AB73" i="5" s="1"/>
  <c r="M68" i="18"/>
  <c r="J36" i="9" s="1"/>
  <c r="M61" i="18"/>
  <c r="AB61" i="5" s="1"/>
  <c r="M52" i="18"/>
  <c r="AB52" i="5" s="1"/>
  <c r="M32" i="18"/>
  <c r="G32" i="18" s="1"/>
  <c r="M20" i="18"/>
  <c r="AB20" i="5" s="1"/>
  <c r="M180" i="18"/>
  <c r="AB180" i="5" s="1"/>
  <c r="M172" i="18"/>
  <c r="G172" i="18" s="1"/>
  <c r="M170" i="18"/>
  <c r="AB170" i="5" s="1"/>
  <c r="M99" i="18"/>
  <c r="J337" i="9" s="1"/>
  <c r="M66" i="18"/>
  <c r="AB66" i="5" s="1"/>
  <c r="M57" i="18"/>
  <c r="G57" i="18" s="1"/>
  <c r="M48" i="18"/>
  <c r="AB48" i="5" s="1"/>
  <c r="M21" i="18"/>
  <c r="AB21" i="5" s="1"/>
  <c r="M15" i="18"/>
  <c r="G15" i="18" s="1"/>
  <c r="M177" i="18"/>
  <c r="J222" i="14" s="1"/>
  <c r="M163" i="18"/>
  <c r="G163" i="18" s="1"/>
  <c r="M107" i="18"/>
  <c r="G107" i="18" s="1"/>
  <c r="M104" i="18"/>
  <c r="O367" i="9" s="1"/>
  <c r="M74" i="18"/>
  <c r="J168" i="9" s="1"/>
  <c r="F169" i="9" s="1"/>
  <c r="M67" i="18"/>
  <c r="AB67" i="5" s="1"/>
  <c r="M46" i="18"/>
  <c r="AB46" i="5" s="1"/>
  <c r="M26" i="18"/>
  <c r="G26" i="18" s="1"/>
  <c r="M22" i="18"/>
  <c r="G22" i="18" s="1"/>
  <c r="M85" i="18"/>
  <c r="G85" i="18" s="1"/>
  <c r="M60" i="18"/>
  <c r="G60" i="18" s="1"/>
  <c r="M12" i="18"/>
  <c r="G12" i="18" s="1"/>
  <c r="M97" i="18"/>
  <c r="AB97" i="5" s="1"/>
  <c r="M95" i="18"/>
  <c r="J317" i="9" s="1"/>
  <c r="M176" i="18"/>
  <c r="J204" i="14" s="1"/>
  <c r="I21" i="20"/>
  <c r="M58" i="18"/>
  <c r="AB58" i="5" s="1"/>
  <c r="M37" i="18"/>
  <c r="AB37" i="5" s="1"/>
  <c r="M27" i="18"/>
  <c r="G27" i="18" s="1"/>
  <c r="E7" i="18"/>
  <c r="D7" i="18" s="1"/>
  <c r="AB6" i="5" s="1"/>
  <c r="M120" i="18"/>
  <c r="AB120" i="5" s="1"/>
  <c r="M13" i="18"/>
  <c r="AB13" i="5" s="1"/>
  <c r="M151" i="18"/>
  <c r="G151" i="18" s="1"/>
  <c r="M9" i="18"/>
  <c r="AB9" i="5" s="1"/>
  <c r="M161" i="18"/>
  <c r="AB161" i="5" s="1"/>
  <c r="M156" i="18"/>
  <c r="G156" i="18" s="1"/>
  <c r="M36" i="18"/>
  <c r="J265" i="8" s="1"/>
  <c r="M81" i="18"/>
  <c r="G81" i="18" s="1"/>
  <c r="M134" i="18"/>
  <c r="AB134" i="5" s="1"/>
  <c r="M38" i="18"/>
  <c r="AB38" i="5" s="1"/>
  <c r="M34" i="18"/>
  <c r="AB34" i="5" s="1"/>
  <c r="M131" i="18"/>
  <c r="AB131" i="5" s="1"/>
  <c r="M164" i="18"/>
  <c r="AB164" i="5" s="1"/>
  <c r="M101" i="18"/>
  <c r="AB101" i="5" s="1"/>
  <c r="M153" i="18"/>
  <c r="AB153" i="5" s="1"/>
  <c r="M102" i="18"/>
  <c r="AB102" i="5" s="1"/>
  <c r="M29" i="18"/>
  <c r="G29" i="18" s="1"/>
  <c r="M112" i="18"/>
  <c r="AB112" i="5" s="1"/>
  <c r="M71" i="18"/>
  <c r="AB71" i="5" s="1"/>
  <c r="M84" i="18"/>
  <c r="AB84" i="5" s="1"/>
  <c r="M123" i="18"/>
  <c r="AB123" i="5" s="1"/>
  <c r="M124" i="18"/>
  <c r="AB124" i="5" s="1"/>
  <c r="M155" i="18"/>
  <c r="AB155" i="5" s="1"/>
  <c r="M18" i="18"/>
  <c r="G18" i="18" s="1"/>
  <c r="M113" i="18"/>
  <c r="G113" i="18" s="1"/>
  <c r="M146" i="18"/>
  <c r="AB146" i="5" s="1"/>
  <c r="M63" i="18"/>
  <c r="AB63" i="5" s="1"/>
  <c r="M145" i="18"/>
  <c r="G145" i="18" s="1"/>
  <c r="M55" i="18"/>
  <c r="AB55" i="5" s="1"/>
  <c r="M19" i="18"/>
  <c r="AB19" i="5" s="1"/>
  <c r="M175" i="18"/>
  <c r="J195" i="14" s="1"/>
  <c r="M31" i="18"/>
  <c r="AB31" i="5" s="1"/>
  <c r="M121" i="18"/>
  <c r="J46" i="11" s="1"/>
  <c r="M43" i="18"/>
  <c r="G43" i="18" s="1"/>
  <c r="M92" i="18"/>
  <c r="AB92" i="5" s="1"/>
  <c r="M80" i="18"/>
  <c r="G80" i="18" s="1"/>
  <c r="M87" i="18"/>
  <c r="J230" i="9" s="1"/>
  <c r="J229" i="9" s="1"/>
  <c r="M130" i="18"/>
  <c r="AB130" i="5" s="1"/>
  <c r="M77" i="18"/>
  <c r="G77" i="18" s="1"/>
  <c r="M37" i="20"/>
  <c r="F107" i="6"/>
  <c r="F62" i="6"/>
  <c r="L27" i="6"/>
  <c r="U35" i="6"/>
  <c r="U27" i="6"/>
  <c r="R27" i="6"/>
  <c r="O27" i="6"/>
  <c r="R35" i="6"/>
  <c r="O30" i="6"/>
  <c r="U30" i="6"/>
  <c r="L30" i="6"/>
  <c r="R30" i="6" s="1"/>
  <c r="F74" i="6"/>
  <c r="F109" i="6"/>
  <c r="F52" i="6"/>
  <c r="F53" i="6"/>
  <c r="F51" i="6"/>
  <c r="F54" i="6"/>
  <c r="F55" i="6"/>
  <c r="J126" i="6"/>
  <c r="S93" i="5"/>
  <c r="M93" i="5" s="1"/>
  <c r="F291" i="9"/>
  <c r="F295" i="9"/>
  <c r="F294" i="9"/>
  <c r="F293" i="9"/>
  <c r="F292" i="9"/>
  <c r="F103" i="6"/>
  <c r="F38" i="6"/>
  <c r="O24" i="6"/>
  <c r="O133" i="6" s="1"/>
  <c r="O37" i="11"/>
  <c r="F111" i="6"/>
  <c r="F86" i="6"/>
  <c r="F80" i="6"/>
  <c r="F110" i="6"/>
  <c r="F56" i="6"/>
  <c r="F106" i="6"/>
  <c r="L94" i="20"/>
  <c r="J118" i="6" s="1"/>
  <c r="S125" i="5"/>
  <c r="M125" i="5" s="1"/>
  <c r="G67" i="11"/>
  <c r="G69" i="11"/>
  <c r="G71" i="11"/>
  <c r="G68" i="11"/>
  <c r="G70" i="11"/>
  <c r="F68" i="6"/>
  <c r="F108" i="6"/>
  <c r="N88" i="18"/>
  <c r="F250" i="9"/>
  <c r="N12" i="18" l="1"/>
  <c r="N110" i="18"/>
  <c r="N147" i="18"/>
  <c r="AD147" i="5" s="1"/>
  <c r="N72" i="18"/>
  <c r="AD72" i="5" s="1"/>
  <c r="N132" i="18"/>
  <c r="AD132" i="5" s="1"/>
  <c r="N123" i="18"/>
  <c r="F172" i="9"/>
  <c r="J167" i="9"/>
  <c r="F170" i="9"/>
  <c r="F174" i="9"/>
  <c r="F173" i="9"/>
  <c r="F171" i="9"/>
  <c r="F118" i="6"/>
  <c r="F125" i="6" s="1"/>
  <c r="N161" i="18"/>
  <c r="AD161" i="5" s="1"/>
  <c r="N61" i="18"/>
  <c r="H61" i="18" s="1"/>
  <c r="N166" i="18"/>
  <c r="H166" i="18" s="1"/>
  <c r="N106" i="18"/>
  <c r="AD106" i="5" s="1"/>
  <c r="N44" i="18"/>
  <c r="N32" i="18"/>
  <c r="AD32" i="5" s="1"/>
  <c r="N177" i="18"/>
  <c r="AD177" i="5" s="1"/>
  <c r="N176" i="18"/>
  <c r="H176" i="18" s="1"/>
  <c r="N77" i="18"/>
  <c r="N124" i="18"/>
  <c r="AD124" i="5" s="1"/>
  <c r="G23" i="11"/>
  <c r="AT47" i="5"/>
  <c r="AP47" i="5" s="1"/>
  <c r="AT20" i="5"/>
  <c r="AP20" i="5" s="1"/>
  <c r="N47" i="18"/>
  <c r="N80" i="18"/>
  <c r="AD80" i="5" s="1"/>
  <c r="N160" i="18"/>
  <c r="AD160" i="5" s="1"/>
  <c r="N82" i="18"/>
  <c r="H82" i="18" s="1"/>
  <c r="N51" i="18"/>
  <c r="H51" i="18" s="1"/>
  <c r="N38" i="18"/>
  <c r="AD38" i="5" s="1"/>
  <c r="N25" i="18"/>
  <c r="AD25" i="5" s="1"/>
  <c r="N121" i="18"/>
  <c r="AD121" i="5" s="1"/>
  <c r="AT34" i="5"/>
  <c r="AP34" i="5" s="1"/>
  <c r="AT62" i="5"/>
  <c r="AP62" i="5" s="1"/>
  <c r="N173" i="18"/>
  <c r="AD173" i="5" s="1"/>
  <c r="N34" i="18"/>
  <c r="N141" i="18"/>
  <c r="AD141" i="5" s="1"/>
  <c r="N94" i="18"/>
  <c r="AD94" i="5" s="1"/>
  <c r="N142" i="18"/>
  <c r="AD142" i="5" s="1"/>
  <c r="N102" i="18"/>
  <c r="AD102" i="5" s="1"/>
  <c r="N154" i="18"/>
  <c r="AD154" i="5" s="1"/>
  <c r="N18" i="18"/>
  <c r="H18" i="18" s="1"/>
  <c r="AT10" i="5"/>
  <c r="AP10" i="5" s="1"/>
  <c r="L24" i="6"/>
  <c r="L133" i="6" s="1"/>
  <c r="E9" i="16" s="1"/>
  <c r="N140" i="18"/>
  <c r="AD140" i="5" s="1"/>
  <c r="N10" i="18"/>
  <c r="N101" i="18"/>
  <c r="H101" i="18" s="1"/>
  <c r="N62" i="18"/>
  <c r="N100" i="18"/>
  <c r="AD100" i="5" s="1"/>
  <c r="N155" i="18"/>
  <c r="AD155" i="5" s="1"/>
  <c r="N45" i="18"/>
  <c r="H45" i="18" s="1"/>
  <c r="N65" i="18"/>
  <c r="O17" i="9" s="1"/>
  <c r="J16" i="9" s="1"/>
  <c r="N35" i="18"/>
  <c r="AD35" i="5" s="1"/>
  <c r="N49" i="18"/>
  <c r="O361" i="8" s="1"/>
  <c r="N86" i="18"/>
  <c r="AD86" i="5" s="1"/>
  <c r="N37" i="18"/>
  <c r="H37" i="18" s="1"/>
  <c r="N29" i="18"/>
  <c r="AD29" i="5" s="1"/>
  <c r="N13" i="18"/>
  <c r="O33" i="8" s="1"/>
  <c r="K34" i="8" s="1"/>
  <c r="N152" i="18"/>
  <c r="H152" i="18" s="1"/>
  <c r="N120" i="18"/>
  <c r="H120" i="18" s="1"/>
  <c r="N118" i="18"/>
  <c r="H118" i="18" s="1"/>
  <c r="N163" i="18"/>
  <c r="AD163" i="5" s="1"/>
  <c r="N99" i="18"/>
  <c r="AD99" i="5" s="1"/>
  <c r="N144" i="18"/>
  <c r="H144" i="18" s="1"/>
  <c r="N130" i="18"/>
  <c r="AD130" i="5" s="1"/>
  <c r="N107" i="18"/>
  <c r="H107" i="18" s="1"/>
  <c r="N169" i="18"/>
  <c r="AD169" i="5" s="1"/>
  <c r="N78" i="18"/>
  <c r="AD78" i="5" s="1"/>
  <c r="N170" i="18"/>
  <c r="AD170" i="5" s="1"/>
  <c r="N84" i="18"/>
  <c r="H84" i="18" s="1"/>
  <c r="N158" i="18"/>
  <c r="AD158" i="5" s="1"/>
  <c r="N53" i="18"/>
  <c r="AD53" i="5" s="1"/>
  <c r="N11" i="18"/>
  <c r="AD11" i="5" s="1"/>
  <c r="N24" i="18"/>
  <c r="H24" i="18" s="1"/>
  <c r="N46" i="18"/>
  <c r="O343" i="8" s="1"/>
  <c r="N79" i="18"/>
  <c r="AD79" i="5" s="1"/>
  <c r="N174" i="18"/>
  <c r="AD174" i="5" s="1"/>
  <c r="N14" i="18"/>
  <c r="AD14" i="5" s="1"/>
  <c r="N75" i="18"/>
  <c r="N108" i="18"/>
  <c r="AD108" i="5" s="1"/>
  <c r="N112" i="18"/>
  <c r="AD112" i="5" s="1"/>
  <c r="N175" i="18"/>
  <c r="AD175" i="5" s="1"/>
  <c r="N105" i="18"/>
  <c r="AD105" i="5" s="1"/>
  <c r="N162" i="18"/>
  <c r="AD162" i="5" s="1"/>
  <c r="N116" i="18"/>
  <c r="H116" i="18" s="1"/>
  <c r="N58" i="18"/>
  <c r="AD58" i="5" s="1"/>
  <c r="N164" i="18"/>
  <c r="AD164" i="5" s="1"/>
  <c r="N104" i="18"/>
  <c r="H104" i="18" s="1"/>
  <c r="N90" i="18"/>
  <c r="AD90" i="5" s="1"/>
  <c r="N146" i="18"/>
  <c r="AD146" i="5" s="1"/>
  <c r="N83" i="18"/>
  <c r="AD83" i="5" s="1"/>
  <c r="N39" i="18"/>
  <c r="AD39" i="5" s="1"/>
  <c r="N48" i="18"/>
  <c r="AD48" i="5" s="1"/>
  <c r="N40" i="18"/>
  <c r="AD40" i="5" s="1"/>
  <c r="N64" i="18"/>
  <c r="O8" i="9" s="1"/>
  <c r="N145" i="18"/>
  <c r="AD145" i="5" s="1"/>
  <c r="N89" i="18"/>
  <c r="H89" i="18" s="1"/>
  <c r="N68" i="18"/>
  <c r="AD68" i="5" s="1"/>
  <c r="N55" i="18"/>
  <c r="H55" i="18" s="1"/>
  <c r="N28" i="18"/>
  <c r="AD28" i="5" s="1"/>
  <c r="N139" i="18"/>
  <c r="H139" i="18" s="1"/>
  <c r="N30" i="18"/>
  <c r="AD30" i="5" s="1"/>
  <c r="N26" i="18"/>
  <c r="AD26" i="5" s="1"/>
  <c r="N113" i="18"/>
  <c r="H113" i="18" s="1"/>
  <c r="N151" i="18"/>
  <c r="H151" i="18" s="1"/>
  <c r="N138" i="18"/>
  <c r="H138" i="18" s="1"/>
  <c r="J137" i="18" s="1"/>
  <c r="E138" i="18" s="1"/>
  <c r="Y138" i="5" s="1"/>
  <c r="N122" i="18"/>
  <c r="AD122" i="5" s="1"/>
  <c r="N165" i="18"/>
  <c r="H165" i="18" s="1"/>
  <c r="N171" i="18"/>
  <c r="AD171" i="5" s="1"/>
  <c r="N153" i="18"/>
  <c r="AD153" i="5" s="1"/>
  <c r="N143" i="18"/>
  <c r="AD143" i="5" s="1"/>
  <c r="N129" i="18"/>
  <c r="H129" i="18" s="1"/>
  <c r="N172" i="18"/>
  <c r="AD172" i="5" s="1"/>
  <c r="N85" i="18"/>
  <c r="AD85" i="5" s="1"/>
  <c r="N131" i="18"/>
  <c r="AD131" i="5" s="1"/>
  <c r="N67" i="18"/>
  <c r="AD67" i="5" s="1"/>
  <c r="N70" i="18"/>
  <c r="O54" i="9" s="1"/>
  <c r="K55" i="9" s="1"/>
  <c r="N95" i="18"/>
  <c r="AD95" i="5" s="1"/>
  <c r="N59" i="18"/>
  <c r="H59" i="18" s="1"/>
  <c r="N41" i="18"/>
  <c r="AD41" i="5" s="1"/>
  <c r="N137" i="18"/>
  <c r="AD137" i="5" s="1"/>
  <c r="N17" i="18"/>
  <c r="AD17" i="5" s="1"/>
  <c r="N157" i="18"/>
  <c r="H157" i="18" s="1"/>
  <c r="N180" i="18"/>
  <c r="AD180" i="5" s="1"/>
  <c r="N134" i="18"/>
  <c r="AD134" i="5" s="1"/>
  <c r="N117" i="18"/>
  <c r="H117" i="18" s="1"/>
  <c r="N109" i="18"/>
  <c r="AD109" i="5" s="1"/>
  <c r="N111" i="18"/>
  <c r="AD111" i="5" s="1"/>
  <c r="N63" i="18"/>
  <c r="AD63" i="5" s="1"/>
  <c r="N69" i="18"/>
  <c r="AD69" i="5" s="1"/>
  <c r="N91" i="18"/>
  <c r="AD91" i="5" s="1"/>
  <c r="N76" i="18"/>
  <c r="AD76" i="5" s="1"/>
  <c r="N57" i="18"/>
  <c r="O425" i="8" s="1"/>
  <c r="N135" i="18"/>
  <c r="H135" i="18" s="1"/>
  <c r="J134" i="18" s="1"/>
  <c r="E135" i="18" s="1"/>
  <c r="Y135" i="5" s="1"/>
  <c r="N23" i="18"/>
  <c r="AD23" i="5" s="1"/>
  <c r="N27" i="18"/>
  <c r="J202" i="8" s="1"/>
  <c r="J201" i="8" s="1"/>
  <c r="N9" i="18"/>
  <c r="AD9" i="5" s="1"/>
  <c r="N16" i="18"/>
  <c r="AD16" i="5" s="1"/>
  <c r="N148" i="18"/>
  <c r="H148" i="18" s="1"/>
  <c r="N119" i="18"/>
  <c r="AD119" i="5" s="1"/>
  <c r="N54" i="18"/>
  <c r="AD54" i="5" s="1"/>
  <c r="N168" i="18"/>
  <c r="H168" i="18" s="1"/>
  <c r="N50" i="18"/>
  <c r="O370" i="8" s="1"/>
  <c r="N128" i="18"/>
  <c r="AD128" i="5" s="1"/>
  <c r="N20" i="18"/>
  <c r="N97" i="18"/>
  <c r="N133" i="18"/>
  <c r="AD133" i="5" s="1"/>
  <c r="N81" i="18"/>
  <c r="AD81" i="5" s="1"/>
  <c r="N159" i="18"/>
  <c r="AD159" i="5" s="1"/>
  <c r="N98" i="18"/>
  <c r="AD98" i="5" s="1"/>
  <c r="N179" i="18"/>
  <c r="AD166" i="5" s="1"/>
  <c r="N125" i="18"/>
  <c r="H125" i="18" s="1"/>
  <c r="N103" i="18"/>
  <c r="N178" i="18"/>
  <c r="AD178" i="5" s="1"/>
  <c r="N167" i="18"/>
  <c r="H167" i="18" s="1"/>
  <c r="N126" i="18"/>
  <c r="H126" i="18" s="1"/>
  <c r="N92" i="18"/>
  <c r="AD92" i="5" s="1"/>
  <c r="N73" i="18"/>
  <c r="H73" i="18" s="1"/>
  <c r="N156" i="18"/>
  <c r="AD156" i="5" s="1"/>
  <c r="N127" i="18"/>
  <c r="AD127" i="5" s="1"/>
  <c r="N71" i="18"/>
  <c r="AD71" i="5" s="1"/>
  <c r="N33" i="18"/>
  <c r="H33" i="18" s="1"/>
  <c r="N52" i="18"/>
  <c r="O388" i="8" s="1"/>
  <c r="N19" i="18"/>
  <c r="AD19" i="5" s="1"/>
  <c r="N74" i="18"/>
  <c r="H74" i="18" s="1"/>
  <c r="N60" i="18"/>
  <c r="H60" i="18" s="1"/>
  <c r="N22" i="18"/>
  <c r="AD22" i="5" s="1"/>
  <c r="N93" i="18"/>
  <c r="AD93" i="5" s="1"/>
  <c r="N87" i="18"/>
  <c r="N66" i="18"/>
  <c r="AD66" i="5" s="1"/>
  <c r="N56" i="18"/>
  <c r="AD56" i="5" s="1"/>
  <c r="N36" i="18"/>
  <c r="O265" i="8" s="1"/>
  <c r="J264" i="8" s="1"/>
  <c r="N114" i="18"/>
  <c r="AD114" i="5" s="1"/>
  <c r="N43" i="18"/>
  <c r="AD43" i="5" s="1"/>
  <c r="N31" i="18"/>
  <c r="O237" i="8" s="1"/>
  <c r="N149" i="18"/>
  <c r="AD149" i="5" s="1"/>
  <c r="N21" i="18"/>
  <c r="AD21" i="5" s="1"/>
  <c r="N42" i="18"/>
  <c r="H42" i="18" s="1"/>
  <c r="N15" i="18"/>
  <c r="AD15" i="5" s="1"/>
  <c r="N150" i="18"/>
  <c r="H150" i="18" s="1"/>
  <c r="N136" i="18"/>
  <c r="H136" i="18" s="1"/>
  <c r="G21" i="11"/>
  <c r="G22" i="11"/>
  <c r="G20" i="11"/>
  <c r="F47" i="6"/>
  <c r="E50" i="16"/>
  <c r="E79" i="17"/>
  <c r="J157" i="14"/>
  <c r="AC27" i="20"/>
  <c r="AB129" i="5"/>
  <c r="O121" i="6"/>
  <c r="F127" i="6"/>
  <c r="L127" i="6" s="1"/>
  <c r="AD6" i="5"/>
  <c r="G65" i="18"/>
  <c r="F48" i="6"/>
  <c r="AB176" i="5"/>
  <c r="AB69" i="5"/>
  <c r="AB36" i="5"/>
  <c r="G152" i="18"/>
  <c r="J20" i="14"/>
  <c r="G101" i="18"/>
  <c r="J50" i="13"/>
  <c r="AB88" i="5"/>
  <c r="F49" i="6"/>
  <c r="D5" i="16"/>
  <c r="E5" i="16" s="1"/>
  <c r="G179" i="18"/>
  <c r="F46" i="6"/>
  <c r="D5" i="17"/>
  <c r="E5" i="17" s="1"/>
  <c r="AB96" i="5"/>
  <c r="G128" i="18"/>
  <c r="J185" i="14"/>
  <c r="AB64" i="5"/>
  <c r="J156" i="11"/>
  <c r="J155" i="11" s="1"/>
  <c r="J302" i="8"/>
  <c r="J333" i="8"/>
  <c r="J184" i="8"/>
  <c r="J183" i="8" s="1"/>
  <c r="AB179" i="5"/>
  <c r="J36" i="11"/>
  <c r="J35" i="11" s="1"/>
  <c r="AB135" i="5"/>
  <c r="J385" i="9"/>
  <c r="G19" i="18"/>
  <c r="G176" i="18"/>
  <c r="V92" i="5"/>
  <c r="AB59" i="5"/>
  <c r="J220" i="8"/>
  <c r="J17" i="13"/>
  <c r="J425" i="8"/>
  <c r="G24" i="18"/>
  <c r="G111" i="18"/>
  <c r="G23" i="18"/>
  <c r="AB157" i="5"/>
  <c r="G148" i="18"/>
  <c r="G130" i="18"/>
  <c r="G162" i="18"/>
  <c r="AB105" i="5"/>
  <c r="J45" i="9"/>
  <c r="J44" i="9" s="1"/>
  <c r="G154" i="18"/>
  <c r="J289" i="9"/>
  <c r="G36" i="18"/>
  <c r="O376" i="9"/>
  <c r="AB42" i="5"/>
  <c r="AB57" i="5"/>
  <c r="AB70" i="5"/>
  <c r="G122" i="18"/>
  <c r="G59" i="18"/>
  <c r="I58" i="18" s="1"/>
  <c r="J407" i="8"/>
  <c r="G396" i="8" s="1"/>
  <c r="J201" i="13"/>
  <c r="G120" i="18"/>
  <c r="AB29" i="5"/>
  <c r="G31" i="18"/>
  <c r="AB74" i="5"/>
  <c r="G16" i="18"/>
  <c r="J168" i="13"/>
  <c r="AB108" i="5"/>
  <c r="J202" i="9"/>
  <c r="J201" i="9" s="1"/>
  <c r="AB115" i="5"/>
  <c r="AB22" i="5"/>
  <c r="G52" i="18"/>
  <c r="I134" i="18"/>
  <c r="D135" i="18" s="1"/>
  <c r="W135" i="5" s="1"/>
  <c r="J152" i="13"/>
  <c r="G78" i="18"/>
  <c r="I76" i="18" s="1"/>
  <c r="D77" i="18" s="1"/>
  <c r="W77" i="5" s="1"/>
  <c r="G44" i="18"/>
  <c r="I43" i="18" s="1"/>
  <c r="AB145" i="5"/>
  <c r="O201" i="13"/>
  <c r="G106" i="18"/>
  <c r="G123" i="18"/>
  <c r="J6" i="14"/>
  <c r="J237" i="8"/>
  <c r="AB56" i="5"/>
  <c r="G177" i="18"/>
  <c r="J367" i="9"/>
  <c r="G88" i="18"/>
  <c r="G17" i="18"/>
  <c r="J8" i="9"/>
  <c r="AB72" i="5"/>
  <c r="J143" i="8"/>
  <c r="G139" i="18"/>
  <c r="I137" i="18" s="1"/>
  <c r="D138" i="18" s="1"/>
  <c r="W138" i="5" s="1"/>
  <c r="O192" i="9"/>
  <c r="O191" i="9" s="1"/>
  <c r="J346" i="9"/>
  <c r="G87" i="18"/>
  <c r="I86" i="18" s="1"/>
  <c r="AB149" i="5"/>
  <c r="O385" i="9"/>
  <c r="G41" i="18"/>
  <c r="I39" i="18" s="1"/>
  <c r="D42" i="18" s="1"/>
  <c r="W42" i="5" s="1"/>
  <c r="AB139" i="5"/>
  <c r="G168" i="18"/>
  <c r="G104" i="18"/>
  <c r="AB87" i="5"/>
  <c r="G51" i="18"/>
  <c r="AB83" i="5"/>
  <c r="J121" i="14"/>
  <c r="G95" i="18"/>
  <c r="O220" i="9"/>
  <c r="O219" i="9" s="1"/>
  <c r="J308" i="9"/>
  <c r="J307" i="9" s="1"/>
  <c r="AB45" i="5"/>
  <c r="AB114" i="5"/>
  <c r="AB49" i="5"/>
  <c r="AB110" i="5"/>
  <c r="O31" i="10"/>
  <c r="AB173" i="5"/>
  <c r="AB151" i="5"/>
  <c r="AB50" i="5"/>
  <c r="J80" i="14"/>
  <c r="AB165" i="5"/>
  <c r="J68" i="8"/>
  <c r="J71" i="14"/>
  <c r="AB136" i="5"/>
  <c r="AB158" i="5"/>
  <c r="G54" i="18"/>
  <c r="AB99" i="5"/>
  <c r="AB68" i="5"/>
  <c r="J249" i="9"/>
  <c r="G127" i="18"/>
  <c r="J239" i="9"/>
  <c r="J238" i="9" s="1"/>
  <c r="J293" i="8"/>
  <c r="AB43" i="5"/>
  <c r="O126" i="11"/>
  <c r="J143" i="13"/>
  <c r="AB144" i="5"/>
  <c r="AB167" i="5"/>
  <c r="J84" i="13"/>
  <c r="AB60" i="5"/>
  <c r="J343" i="8"/>
  <c r="J132" i="8"/>
  <c r="G132" i="18"/>
  <c r="J398" i="8"/>
  <c r="G99" i="18"/>
  <c r="G68" i="18"/>
  <c r="G66" i="18"/>
  <c r="G33" i="18"/>
  <c r="I31" i="18" s="1"/>
  <c r="J379" i="8"/>
  <c r="AB25" i="5"/>
  <c r="J26" i="9"/>
  <c r="J25" i="9" s="1"/>
  <c r="J325" i="8"/>
  <c r="AB175" i="5"/>
  <c r="AB81" i="5"/>
  <c r="G114" i="18"/>
  <c r="J370" i="8"/>
  <c r="AB104" i="5"/>
  <c r="AB147" i="5"/>
  <c r="G150" i="18"/>
  <c r="AB107" i="5"/>
  <c r="G165" i="18"/>
  <c r="J361" i="8"/>
  <c r="AB26" i="5"/>
  <c r="G142" i="18"/>
  <c r="O435" i="8"/>
  <c r="O434" i="8" s="1"/>
  <c r="AB40" i="5"/>
  <c r="G46" i="18"/>
  <c r="AB77" i="5"/>
  <c r="J211" i="8"/>
  <c r="J210" i="8" s="1"/>
  <c r="O6" i="10"/>
  <c r="J251" i="14"/>
  <c r="J211" i="9"/>
  <c r="J210" i="9" s="1"/>
  <c r="AB27" i="5"/>
  <c r="J8" i="8"/>
  <c r="AB65" i="5"/>
  <c r="AB18" i="5"/>
  <c r="AB33" i="5"/>
  <c r="J267" i="9"/>
  <c r="AB142" i="5"/>
  <c r="AB166" i="5"/>
  <c r="J210" i="13"/>
  <c r="AB28" i="5"/>
  <c r="G110" i="18"/>
  <c r="G180" i="18"/>
  <c r="AB94" i="5"/>
  <c r="G92" i="18"/>
  <c r="AB138" i="5"/>
  <c r="J220" i="9"/>
  <c r="J219" i="9" s="1"/>
  <c r="O28" i="13"/>
  <c r="AB89" i="5"/>
  <c r="J193" i="8"/>
  <c r="AB15" i="5"/>
  <c r="AB82" i="5"/>
  <c r="AB12" i="5"/>
  <c r="G131" i="18"/>
  <c r="AB156" i="5"/>
  <c r="J283" i="8"/>
  <c r="J159" i="8"/>
  <c r="J158" i="8" s="1"/>
  <c r="J100" i="14"/>
  <c r="G100" i="18"/>
  <c r="I170" i="18"/>
  <c r="D171" i="18" s="1"/>
  <c r="W171" i="5" s="1"/>
  <c r="G30" i="18"/>
  <c r="O17" i="13"/>
  <c r="O55" i="10"/>
  <c r="J33" i="8"/>
  <c r="F34" i="8" s="1"/>
  <c r="F38" i="8" s="1"/>
  <c r="O211" i="8"/>
  <c r="O210" i="8" s="1"/>
  <c r="J126" i="11"/>
  <c r="O211" i="9"/>
  <c r="O210" i="9" s="1"/>
  <c r="G38" i="18"/>
  <c r="G56" i="18"/>
  <c r="AB172" i="5"/>
  <c r="G37" i="18"/>
  <c r="G149" i="18"/>
  <c r="J311" i="8"/>
  <c r="J310" i="8" s="1"/>
  <c r="J84" i="8"/>
  <c r="AB177" i="5"/>
  <c r="G103" i="18"/>
  <c r="AB32" i="5"/>
  <c r="J376" i="9"/>
  <c r="AB163" i="5"/>
  <c r="AB95" i="5"/>
  <c r="J115" i="9"/>
  <c r="F116" i="9" s="1"/>
  <c r="F117" i="9" s="1"/>
  <c r="J15" i="11"/>
  <c r="AB85" i="5"/>
  <c r="J168" i="8"/>
  <c r="J388" i="8"/>
  <c r="I112" i="18"/>
  <c r="D113" i="18" s="1"/>
  <c r="W113" i="5" s="1"/>
  <c r="AB121" i="5"/>
  <c r="J254" i="8"/>
  <c r="J253" i="8" s="1"/>
  <c r="AB17" i="5"/>
  <c r="J357" i="9"/>
  <c r="J64" i="11"/>
  <c r="AB171" i="5"/>
  <c r="AB80" i="5"/>
  <c r="J29" i="14"/>
  <c r="G175" i="18"/>
  <c r="G55" i="18"/>
  <c r="O202" i="9"/>
  <c r="O201" i="9" s="1"/>
  <c r="AB113" i="5"/>
  <c r="G84" i="18"/>
  <c r="I79" i="18" s="1"/>
  <c r="J192" i="9"/>
  <c r="J191" i="9" s="1"/>
  <c r="J116" i="8"/>
  <c r="I155" i="18"/>
  <c r="D156" i="18" s="1"/>
  <c r="W156" i="5" s="1"/>
  <c r="O116" i="8"/>
  <c r="F58" i="9"/>
  <c r="F57" i="9"/>
  <c r="F59" i="9"/>
  <c r="F56" i="9"/>
  <c r="S70" i="5"/>
  <c r="M70" i="5" s="1"/>
  <c r="F60" i="9"/>
  <c r="S91" i="5"/>
  <c r="M91" i="5" s="1"/>
  <c r="F254" i="9"/>
  <c r="F253" i="9"/>
  <c r="F251" i="9"/>
  <c r="F255" i="9"/>
  <c r="F252" i="9"/>
  <c r="H54" i="18"/>
  <c r="AD165" i="5"/>
  <c r="AD103" i="5"/>
  <c r="H103" i="18"/>
  <c r="H127" i="18"/>
  <c r="AD74" i="5"/>
  <c r="H93" i="18"/>
  <c r="AD87" i="5"/>
  <c r="H87" i="18"/>
  <c r="AD150" i="5"/>
  <c r="AD118" i="5"/>
  <c r="F72" i="6"/>
  <c r="F69" i="6"/>
  <c r="F73" i="6"/>
  <c r="F70" i="6"/>
  <c r="F71" i="6"/>
  <c r="I143" i="18"/>
  <c r="F60" i="6"/>
  <c r="F57" i="6"/>
  <c r="F61" i="6"/>
  <c r="F59" i="6"/>
  <c r="F58" i="6"/>
  <c r="D9" i="16"/>
  <c r="S39" i="4" s="1"/>
  <c r="H15" i="14"/>
  <c r="L35" i="6"/>
  <c r="E8" i="16" s="1"/>
  <c r="F64" i="6"/>
  <c r="F65" i="6"/>
  <c r="F67" i="6"/>
  <c r="F63" i="6"/>
  <c r="F66" i="6"/>
  <c r="H142" i="18"/>
  <c r="AD70" i="5"/>
  <c r="AD27" i="5"/>
  <c r="F40" i="6"/>
  <c r="L93" i="6"/>
  <c r="E14" i="16" s="1"/>
  <c r="F41" i="6"/>
  <c r="F43" i="6"/>
  <c r="O93" i="6"/>
  <c r="F42" i="6"/>
  <c r="F39" i="6"/>
  <c r="O35" i="6"/>
  <c r="D8" i="16" s="1"/>
  <c r="H132" i="18"/>
  <c r="H38" i="18"/>
  <c r="AD12" i="5"/>
  <c r="O8" i="8"/>
  <c r="H12" i="18"/>
  <c r="H9" i="18"/>
  <c r="H17" i="18"/>
  <c r="K125" i="18"/>
  <c r="G125" i="18" s="1"/>
  <c r="V125" i="5"/>
  <c r="F88" i="6"/>
  <c r="F89" i="6"/>
  <c r="F91" i="6"/>
  <c r="F90" i="6"/>
  <c r="F87" i="6"/>
  <c r="L113" i="6"/>
  <c r="L134" i="6" s="1"/>
  <c r="O113" i="6"/>
  <c r="O134" i="6" s="1"/>
  <c r="S74" i="5"/>
  <c r="M74" i="5" s="1"/>
  <c r="C72" i="9"/>
  <c r="F72" i="9"/>
  <c r="F76" i="6"/>
  <c r="F77" i="6"/>
  <c r="F75" i="6"/>
  <c r="F78" i="6"/>
  <c r="F79" i="6"/>
  <c r="AD117" i="5"/>
  <c r="O346" i="9"/>
  <c r="H100" i="18"/>
  <c r="AD151" i="5"/>
  <c r="F84" i="6"/>
  <c r="F81" i="6"/>
  <c r="F85" i="6"/>
  <c r="F83" i="6"/>
  <c r="F82" i="6"/>
  <c r="H177" i="18"/>
  <c r="AD110" i="5"/>
  <c r="H110" i="18"/>
  <c r="AD116" i="5"/>
  <c r="H172" i="18"/>
  <c r="AD84" i="5"/>
  <c r="AD44" i="5"/>
  <c r="H44" i="18"/>
  <c r="AD89" i="5"/>
  <c r="H171" i="18"/>
  <c r="H108" i="18"/>
  <c r="AD82" i="5"/>
  <c r="AD62" i="5"/>
  <c r="AD77" i="5"/>
  <c r="H77" i="18"/>
  <c r="O168" i="8"/>
  <c r="AD88" i="5"/>
  <c r="H88" i="18"/>
  <c r="AD57" i="5"/>
  <c r="H154" i="18"/>
  <c r="AD113" i="5"/>
  <c r="H123" i="18"/>
  <c r="AD123" i="5"/>
  <c r="J125" i="6"/>
  <c r="V93" i="5"/>
  <c r="K93" i="18"/>
  <c r="G93" i="18" s="1"/>
  <c r="H68" i="18" l="1"/>
  <c r="H80" i="18"/>
  <c r="H16" i="18"/>
  <c r="H57" i="18"/>
  <c r="H130" i="18"/>
  <c r="AD61" i="5"/>
  <c r="H147" i="18"/>
  <c r="H29" i="18"/>
  <c r="H140" i="18"/>
  <c r="H114" i="18"/>
  <c r="H92" i="18"/>
  <c r="H159" i="18"/>
  <c r="J116" i="18" s="1"/>
  <c r="E140" i="18" s="1"/>
  <c r="O398" i="8"/>
  <c r="AD75" i="5"/>
  <c r="AD24" i="5"/>
  <c r="H40" i="18"/>
  <c r="AD107" i="5"/>
  <c r="H30" i="18"/>
  <c r="H124" i="18"/>
  <c r="O84" i="8"/>
  <c r="J83" i="8" s="1"/>
  <c r="O379" i="8"/>
  <c r="H106" i="18"/>
  <c r="O220" i="8"/>
  <c r="J219" i="8" s="1"/>
  <c r="O283" i="8"/>
  <c r="J282" i="8" s="1"/>
  <c r="H175" i="18"/>
  <c r="J174" i="18" s="1"/>
  <c r="AD176" i="5"/>
  <c r="AD42" i="5"/>
  <c r="AD18" i="5"/>
  <c r="H15" i="18"/>
  <c r="O36" i="9"/>
  <c r="J35" i="9" s="1"/>
  <c r="H95" i="18"/>
  <c r="AD49" i="5"/>
  <c r="H69" i="18"/>
  <c r="AD55" i="5"/>
  <c r="O118" i="6"/>
  <c r="AD51" i="5"/>
  <c r="H158" i="18"/>
  <c r="O416" i="8"/>
  <c r="J415" i="8" s="1"/>
  <c r="H156" i="18"/>
  <c r="H64" i="18"/>
  <c r="H94" i="18"/>
  <c r="O357" i="9"/>
  <c r="H173" i="18"/>
  <c r="J170" i="18" s="1"/>
  <c r="H49" i="18"/>
  <c r="O293" i="8"/>
  <c r="J292" i="8" s="1"/>
  <c r="O333" i="8"/>
  <c r="H160" i="18"/>
  <c r="AD157" i="5"/>
  <c r="AD13" i="5"/>
  <c r="O100" i="8"/>
  <c r="J99" i="8" s="1"/>
  <c r="H85" i="18"/>
  <c r="O325" i="8"/>
  <c r="H66" i="18"/>
  <c r="H22" i="18"/>
  <c r="H52" i="18"/>
  <c r="AD73" i="5"/>
  <c r="AD148" i="5"/>
  <c r="H32" i="18"/>
  <c r="H163" i="18"/>
  <c r="O337" i="9"/>
  <c r="J336" i="9" s="1"/>
  <c r="H91" i="18"/>
  <c r="AD152" i="5"/>
  <c r="AD64" i="5"/>
  <c r="AD101" i="5"/>
  <c r="AD97" i="5" s="1"/>
  <c r="AD45" i="5"/>
  <c r="AD60" i="5"/>
  <c r="AD33" i="5"/>
  <c r="AD10" i="5"/>
  <c r="AD47" i="5"/>
  <c r="H111" i="18"/>
  <c r="H65" i="18"/>
  <c r="H16" i="14"/>
  <c r="H25" i="18"/>
  <c r="J274" i="8"/>
  <c r="J273" i="8" s="1"/>
  <c r="H83" i="18"/>
  <c r="H23" i="18"/>
  <c r="H131" i="18"/>
  <c r="H99" i="18"/>
  <c r="AD59" i="5"/>
  <c r="AD104" i="5"/>
  <c r="AD31" i="5"/>
  <c r="H36" i="18"/>
  <c r="H179" i="18"/>
  <c r="H50" i="18"/>
  <c r="O407" i="8"/>
  <c r="J406" i="8" s="1"/>
  <c r="AD129" i="5"/>
  <c r="H105" i="18"/>
  <c r="J102" i="18" s="1"/>
  <c r="AD46" i="5"/>
  <c r="AD34" i="5" s="1"/>
  <c r="AD120" i="5"/>
  <c r="H26" i="18"/>
  <c r="H162" i="18"/>
  <c r="AD52" i="5"/>
  <c r="H128" i="18"/>
  <c r="H28" i="18"/>
  <c r="H78" i="18"/>
  <c r="AD167" i="5"/>
  <c r="AD125" i="5"/>
  <c r="H122" i="18"/>
  <c r="H46" i="18"/>
  <c r="H109" i="18"/>
  <c r="J8" i="18" s="1"/>
  <c r="O193" i="8"/>
  <c r="J192" i="8" s="1"/>
  <c r="H180" i="18"/>
  <c r="H27" i="18"/>
  <c r="O302" i="8"/>
  <c r="AD65" i="5"/>
  <c r="AD144" i="5"/>
  <c r="O68" i="8"/>
  <c r="J67" i="8" s="1"/>
  <c r="H31" i="18"/>
  <c r="H56" i="18"/>
  <c r="O143" i="8"/>
  <c r="AD126" i="5"/>
  <c r="AD179" i="5"/>
  <c r="AD50" i="5"/>
  <c r="H145" i="18"/>
  <c r="AD37" i="5"/>
  <c r="H41" i="18"/>
  <c r="J39" i="18" s="1"/>
  <c r="E42" i="18" s="1"/>
  <c r="Y42" i="5" s="1"/>
  <c r="H149" i="18"/>
  <c r="AD36" i="5"/>
  <c r="J424" i="8"/>
  <c r="O132" i="8"/>
  <c r="J131" i="8" s="1"/>
  <c r="H81" i="18"/>
  <c r="J164" i="18"/>
  <c r="H43" i="18"/>
  <c r="H19" i="18"/>
  <c r="I63" i="18"/>
  <c r="D66" i="18" s="1"/>
  <c r="W66" i="5" s="1"/>
  <c r="N66" i="5" s="1"/>
  <c r="N27" i="20"/>
  <c r="N29" i="20" s="1"/>
  <c r="J7" i="9"/>
  <c r="J345" i="9"/>
  <c r="I178" i="18"/>
  <c r="D180" i="18" s="1"/>
  <c r="W180" i="5" s="1"/>
  <c r="N180" i="5" s="1"/>
  <c r="J378" i="8"/>
  <c r="J301" i="8"/>
  <c r="I146" i="18"/>
  <c r="D148" i="18" s="1"/>
  <c r="W148" i="5" s="1"/>
  <c r="N148" i="5" s="1"/>
  <c r="J236" i="8"/>
  <c r="I121" i="18"/>
  <c r="D122" i="18" s="1"/>
  <c r="W122" i="5" s="1"/>
  <c r="N122" i="5" s="1"/>
  <c r="J324" i="8"/>
  <c r="J369" i="8"/>
  <c r="I102" i="18"/>
  <c r="D108" i="18" s="1"/>
  <c r="W108" i="5" s="1"/>
  <c r="N108" i="5" s="1"/>
  <c r="J43" i="18"/>
  <c r="E45" i="18" s="1"/>
  <c r="Y45" i="5" s="1"/>
  <c r="P45" i="5" s="1"/>
  <c r="E136" i="18"/>
  <c r="Y136" i="5" s="1"/>
  <c r="P136" i="5" s="1"/>
  <c r="F39" i="8"/>
  <c r="J125" i="11"/>
  <c r="I21" i="18"/>
  <c r="D23" i="18" s="1"/>
  <c r="W23" i="5" s="1"/>
  <c r="N23" i="5" s="1"/>
  <c r="I48" i="18"/>
  <c r="D49" i="18" s="1"/>
  <c r="W49" i="5" s="1"/>
  <c r="J342" i="8"/>
  <c r="J142" i="8"/>
  <c r="I174" i="18"/>
  <c r="D177" i="18" s="1"/>
  <c r="W177" i="5" s="1"/>
  <c r="N177" i="5" s="1"/>
  <c r="I98" i="18"/>
  <c r="D100" i="18" s="1"/>
  <c r="W100" i="5" s="1"/>
  <c r="N100" i="5" s="1"/>
  <c r="D136" i="18"/>
  <c r="W136" i="5" s="1"/>
  <c r="N136" i="5" s="1"/>
  <c r="I126" i="18"/>
  <c r="D128" i="18" s="1"/>
  <c r="W128" i="5" s="1"/>
  <c r="N128" i="5" s="1"/>
  <c r="I164" i="18"/>
  <c r="D166" i="18" s="1"/>
  <c r="W166" i="5" s="1"/>
  <c r="N166" i="5" s="1"/>
  <c r="I14" i="18"/>
  <c r="D15" i="18" s="1"/>
  <c r="W15" i="5" s="1"/>
  <c r="N15" i="5" s="1"/>
  <c r="D59" i="18"/>
  <c r="W59" i="5" s="1"/>
  <c r="N59" i="5" s="1"/>
  <c r="D60" i="18"/>
  <c r="W60" i="5" s="1"/>
  <c r="N60" i="5" s="1"/>
  <c r="AD20" i="5"/>
  <c r="E139" i="18"/>
  <c r="Y139" i="5" s="1"/>
  <c r="P139" i="5" s="1"/>
  <c r="F36" i="8"/>
  <c r="D172" i="18"/>
  <c r="W172" i="5" s="1"/>
  <c r="N172" i="5" s="1"/>
  <c r="S13" i="5"/>
  <c r="M13" i="5" s="1"/>
  <c r="V13" i="5" s="1"/>
  <c r="J115" i="8"/>
  <c r="D173" i="18"/>
  <c r="W173" i="5" s="1"/>
  <c r="N173" i="5" s="1"/>
  <c r="J7" i="8"/>
  <c r="F16" i="8" s="1"/>
  <c r="F37" i="8"/>
  <c r="I35" i="18"/>
  <c r="D37" i="18" s="1"/>
  <c r="W37" i="5" s="1"/>
  <c r="N37" i="5" s="1"/>
  <c r="J112" i="18"/>
  <c r="E114" i="18" s="1"/>
  <c r="Y114" i="5" s="1"/>
  <c r="P114" i="5" s="1"/>
  <c r="F35" i="8"/>
  <c r="J114" i="9"/>
  <c r="J397" i="8"/>
  <c r="D114" i="18"/>
  <c r="W114" i="5" s="1"/>
  <c r="N114" i="5" s="1"/>
  <c r="J360" i="8"/>
  <c r="F119" i="9"/>
  <c r="J356" i="9"/>
  <c r="D40" i="18"/>
  <c r="W40" i="5" s="1"/>
  <c r="N40" i="5" s="1"/>
  <c r="D139" i="18"/>
  <c r="W139" i="5" s="1"/>
  <c r="N139" i="5" s="1"/>
  <c r="D78" i="18"/>
  <c r="W78" i="5" s="1"/>
  <c r="N78" i="5" s="1"/>
  <c r="F118" i="9"/>
  <c r="D41" i="18"/>
  <c r="W41" i="5" s="1"/>
  <c r="N41" i="5" s="1"/>
  <c r="J387" i="8"/>
  <c r="J167" i="8"/>
  <c r="F120" i="9"/>
  <c r="I53" i="18"/>
  <c r="D54" i="18" s="1"/>
  <c r="W54" i="5" s="1"/>
  <c r="S73" i="5"/>
  <c r="M73" i="5" s="1"/>
  <c r="K73" i="18" s="1"/>
  <c r="G73" i="18" s="1"/>
  <c r="J58" i="18"/>
  <c r="E59" i="18" s="1"/>
  <c r="Y59" i="5" s="1"/>
  <c r="F121" i="9"/>
  <c r="D89" i="18"/>
  <c r="W89" i="5" s="1"/>
  <c r="N89" i="5" s="1"/>
  <c r="D84" i="18"/>
  <c r="W84" i="5" s="1"/>
  <c r="N84" i="5" s="1"/>
  <c r="D80" i="18"/>
  <c r="W80" i="5" s="1"/>
  <c r="N80" i="5" s="1"/>
  <c r="D88" i="18"/>
  <c r="W88" i="5" s="1"/>
  <c r="N88" i="5" s="1"/>
  <c r="D85" i="18"/>
  <c r="W85" i="5" s="1"/>
  <c r="N85" i="5" s="1"/>
  <c r="D87" i="18"/>
  <c r="W87" i="5" s="1"/>
  <c r="N87" i="5" s="1"/>
  <c r="D81" i="18"/>
  <c r="W81" i="5" s="1"/>
  <c r="N81" i="5" s="1"/>
  <c r="D83" i="18"/>
  <c r="W83" i="5" s="1"/>
  <c r="N83" i="5" s="1"/>
  <c r="D82" i="18"/>
  <c r="W82" i="5" s="1"/>
  <c r="N82" i="5" s="1"/>
  <c r="D158" i="18"/>
  <c r="W158" i="5" s="1"/>
  <c r="N158" i="5" s="1"/>
  <c r="J76" i="18"/>
  <c r="E77" i="18" s="1"/>
  <c r="Y77" i="5" s="1"/>
  <c r="D157" i="18"/>
  <c r="W157" i="5" s="1"/>
  <c r="N157" i="5" s="1"/>
  <c r="J121" i="18"/>
  <c r="E123" i="18" s="1"/>
  <c r="Y123" i="5" s="1"/>
  <c r="P123" i="5" s="1"/>
  <c r="J143" i="18"/>
  <c r="E144" i="18" s="1"/>
  <c r="Y144" i="5" s="1"/>
  <c r="O98" i="6"/>
  <c r="D19" i="16" s="1"/>
  <c r="L98" i="6"/>
  <c r="E19" i="16" s="1"/>
  <c r="J124" i="18"/>
  <c r="K70" i="18"/>
  <c r="G70" i="18" s="1"/>
  <c r="I67" i="18" s="1"/>
  <c r="V70" i="5"/>
  <c r="D32" i="18"/>
  <c r="W32" i="5" s="1"/>
  <c r="N32" i="5" s="1"/>
  <c r="D33" i="18"/>
  <c r="W33" i="5" s="1"/>
  <c r="N33" i="5" s="1"/>
  <c r="N113" i="5"/>
  <c r="F75" i="9"/>
  <c r="J70" i="9"/>
  <c r="S72" i="5"/>
  <c r="M72" i="5" s="1"/>
  <c r="F76" i="9"/>
  <c r="F74" i="9"/>
  <c r="F77" i="9"/>
  <c r="F73" i="9"/>
  <c r="I15" i="14"/>
  <c r="D34" i="16"/>
  <c r="T39" i="4" s="1"/>
  <c r="J98" i="18"/>
  <c r="T13" i="5"/>
  <c r="O13" i="5" s="1"/>
  <c r="K38" i="8"/>
  <c r="K37" i="8"/>
  <c r="K39" i="8"/>
  <c r="K35" i="8"/>
  <c r="K36" i="8"/>
  <c r="V74" i="5"/>
  <c r="K74" i="18"/>
  <c r="G74" i="18" s="1"/>
  <c r="I16" i="14"/>
  <c r="E34" i="16"/>
  <c r="T40" i="4" s="1"/>
  <c r="P138" i="5"/>
  <c r="L95" i="6"/>
  <c r="E16" i="16" s="1"/>
  <c r="O95" i="6"/>
  <c r="K56" i="9"/>
  <c r="K60" i="9"/>
  <c r="K59" i="9"/>
  <c r="T70" i="5"/>
  <c r="O70" i="5" s="1"/>
  <c r="K57" i="9"/>
  <c r="K58" i="9"/>
  <c r="N138" i="5"/>
  <c r="J32" i="8"/>
  <c r="N135" i="5"/>
  <c r="S40" i="4"/>
  <c r="N156" i="5"/>
  <c r="P135" i="5"/>
  <c r="D45" i="18"/>
  <c r="W45" i="5" s="1"/>
  <c r="N45" i="5" s="1"/>
  <c r="D44" i="18"/>
  <c r="W44" i="5" s="1"/>
  <c r="N44" i="5" s="1"/>
  <c r="N171" i="5"/>
  <c r="O94" i="6"/>
  <c r="L94" i="6"/>
  <c r="E15" i="16" s="1"/>
  <c r="O96" i="6"/>
  <c r="D17" i="16" s="1"/>
  <c r="L96" i="6"/>
  <c r="E17" i="16" s="1"/>
  <c r="E168" i="18"/>
  <c r="Y165" i="5" s="1"/>
  <c r="E165" i="18"/>
  <c r="E166" i="18"/>
  <c r="E167" i="18"/>
  <c r="D144" i="18"/>
  <c r="W144" i="5" s="1"/>
  <c r="D145" i="18"/>
  <c r="W145" i="5" s="1"/>
  <c r="N145" i="5" s="1"/>
  <c r="J35" i="18"/>
  <c r="J86" i="18"/>
  <c r="V91" i="5"/>
  <c r="K91" i="18"/>
  <c r="G91" i="18" s="1"/>
  <c r="I90" i="18" s="1"/>
  <c r="N77" i="5"/>
  <c r="L97" i="6"/>
  <c r="E18" i="16" s="1"/>
  <c r="O97" i="6"/>
  <c r="D18" i="16" s="1"/>
  <c r="J53" i="9"/>
  <c r="J31" i="18"/>
  <c r="J146" i="18" l="1"/>
  <c r="J53" i="18"/>
  <c r="J90" i="18"/>
  <c r="E92" i="18" s="1"/>
  <c r="Y92" i="5" s="1"/>
  <c r="P92" i="5" s="1"/>
  <c r="J155" i="18"/>
  <c r="E156" i="18" s="1"/>
  <c r="Y156" i="5" s="1"/>
  <c r="J14" i="18"/>
  <c r="J178" i="18"/>
  <c r="J48" i="18"/>
  <c r="E50" i="18" s="1"/>
  <c r="Y50" i="5" s="1"/>
  <c r="P50" i="5" s="1"/>
  <c r="J63" i="18"/>
  <c r="E66" i="18" s="1"/>
  <c r="Y66" i="5" s="1"/>
  <c r="P66" i="5" s="1"/>
  <c r="J126" i="18"/>
  <c r="E129" i="18" s="1"/>
  <c r="Y129" i="5" s="1"/>
  <c r="P129" i="5" s="1"/>
  <c r="J79" i="18"/>
  <c r="E82" i="18" s="1"/>
  <c r="Y82" i="5" s="1"/>
  <c r="P82" i="5" s="1"/>
  <c r="J21" i="18"/>
  <c r="E23" i="18" s="1"/>
  <c r="Y23" i="5" s="1"/>
  <c r="P23" i="5" s="1"/>
  <c r="K74" i="11"/>
  <c r="K76" i="11" s="1"/>
  <c r="D50" i="18"/>
  <c r="W50" i="5" s="1"/>
  <c r="N50" i="5" s="1"/>
  <c r="D64" i="18"/>
  <c r="W64" i="5" s="1"/>
  <c r="N64" i="5" s="1"/>
  <c r="D65" i="18"/>
  <c r="W65" i="5" s="1"/>
  <c r="N65" i="5" s="1"/>
  <c r="D51" i="18"/>
  <c r="W51" i="5" s="1"/>
  <c r="N51" i="5" s="1"/>
  <c r="D103" i="18"/>
  <c r="W103" i="5" s="1"/>
  <c r="N103" i="5" s="1"/>
  <c r="E60" i="18"/>
  <c r="Y60" i="5" s="1"/>
  <c r="P60" i="5" s="1"/>
  <c r="D179" i="18"/>
  <c r="W179" i="5" s="1"/>
  <c r="V178" i="5" s="1"/>
  <c r="M178" i="5" s="1"/>
  <c r="K178" i="18" s="1"/>
  <c r="G178" i="18" s="1"/>
  <c r="F120" i="6"/>
  <c r="F126" i="6" s="1"/>
  <c r="J110" i="20"/>
  <c r="M31" i="20"/>
  <c r="I34" i="20" s="1"/>
  <c r="O74" i="11"/>
  <c r="N108" i="20"/>
  <c r="I120" i="6" s="1"/>
  <c r="Q108" i="20"/>
  <c r="H120" i="6" s="1"/>
  <c r="D59" i="16" s="1"/>
  <c r="D52" i="18"/>
  <c r="W52" i="5" s="1"/>
  <c r="N52" i="5" s="1"/>
  <c r="D106" i="18"/>
  <c r="W106" i="5" s="1"/>
  <c r="N106" i="5" s="1"/>
  <c r="D123" i="18"/>
  <c r="W123" i="5" s="1"/>
  <c r="N123" i="5" s="1"/>
  <c r="D167" i="18"/>
  <c r="W167" i="5" s="1"/>
  <c r="N167" i="5" s="1"/>
  <c r="D151" i="18"/>
  <c r="W151" i="5" s="1"/>
  <c r="N151" i="5" s="1"/>
  <c r="D147" i="18"/>
  <c r="W147" i="5" s="1"/>
  <c r="N147" i="5" s="1"/>
  <c r="D99" i="18"/>
  <c r="W99" i="5" s="1"/>
  <c r="V98" i="5" s="1"/>
  <c r="D149" i="18"/>
  <c r="W149" i="5" s="1"/>
  <c r="N149" i="5" s="1"/>
  <c r="D152" i="18"/>
  <c r="W152" i="5" s="1"/>
  <c r="N152" i="5" s="1"/>
  <c r="D150" i="18"/>
  <c r="W150" i="5" s="1"/>
  <c r="N150" i="5" s="1"/>
  <c r="D105" i="18"/>
  <c r="W105" i="5" s="1"/>
  <c r="N105" i="5" s="1"/>
  <c r="X134" i="5"/>
  <c r="O134" i="5" s="1"/>
  <c r="L134" i="18" s="1"/>
  <c r="H134" i="18" s="1"/>
  <c r="D165" i="18"/>
  <c r="W165" i="5" s="1"/>
  <c r="N165" i="5" s="1"/>
  <c r="D107" i="18"/>
  <c r="W107" i="5" s="1"/>
  <c r="N107" i="5" s="1"/>
  <c r="D17" i="18"/>
  <c r="W17" i="5" s="1"/>
  <c r="N17" i="5" s="1"/>
  <c r="E44" i="18"/>
  <c r="Y44" i="5" s="1"/>
  <c r="P44" i="5" s="1"/>
  <c r="D104" i="18"/>
  <c r="W104" i="5" s="1"/>
  <c r="N104" i="5" s="1"/>
  <c r="D16" i="18"/>
  <c r="W16" i="5" s="1"/>
  <c r="N16" i="5" s="1"/>
  <c r="H100" i="20"/>
  <c r="J74" i="20" s="1"/>
  <c r="V134" i="5"/>
  <c r="M134" i="5" s="1"/>
  <c r="D18" i="18"/>
  <c r="W18" i="5" s="1"/>
  <c r="N18" i="5" s="1"/>
  <c r="D24" i="18"/>
  <c r="W24" i="5" s="1"/>
  <c r="N24" i="5" s="1"/>
  <c r="D22" i="18"/>
  <c r="W22" i="5" s="1"/>
  <c r="N22" i="5" s="1"/>
  <c r="D127" i="18"/>
  <c r="W127" i="5" s="1"/>
  <c r="N127" i="5" s="1"/>
  <c r="D26" i="18"/>
  <c r="W26" i="5" s="1"/>
  <c r="N26" i="5" s="1"/>
  <c r="D28" i="18"/>
  <c r="W28" i="5" s="1"/>
  <c r="N28" i="5" s="1"/>
  <c r="D27" i="18"/>
  <c r="W27" i="5" s="1"/>
  <c r="N27" i="5" s="1"/>
  <c r="D29" i="18"/>
  <c r="W29" i="5" s="1"/>
  <c r="N29" i="5" s="1"/>
  <c r="D25" i="18"/>
  <c r="W25" i="5" s="1"/>
  <c r="N25" i="5" s="1"/>
  <c r="V170" i="5"/>
  <c r="M170" i="5" s="1"/>
  <c r="K170" i="18" s="1"/>
  <c r="G170" i="18" s="1"/>
  <c r="V58" i="5"/>
  <c r="M58" i="5" s="1"/>
  <c r="K58" i="18" s="1"/>
  <c r="G58" i="18" s="1"/>
  <c r="D131" i="18"/>
  <c r="W131" i="5" s="1"/>
  <c r="N131" i="5" s="1"/>
  <c r="D176" i="18"/>
  <c r="W176" i="5" s="1"/>
  <c r="N176" i="5" s="1"/>
  <c r="D175" i="18"/>
  <c r="W175" i="5" s="1"/>
  <c r="N175" i="5" s="1"/>
  <c r="D38" i="18"/>
  <c r="W38" i="5" s="1"/>
  <c r="N38" i="5" s="1"/>
  <c r="D129" i="18"/>
  <c r="W129" i="5" s="1"/>
  <c r="N129" i="5" s="1"/>
  <c r="D130" i="18"/>
  <c r="W130" i="5" s="1"/>
  <c r="N130" i="5" s="1"/>
  <c r="V73" i="5"/>
  <c r="K13" i="18"/>
  <c r="G13" i="18" s="1"/>
  <c r="I11" i="18" s="1"/>
  <c r="D13" i="18" s="1"/>
  <c r="W13" i="5" s="1"/>
  <c r="N13" i="5" s="1"/>
  <c r="D168" i="18"/>
  <c r="W168" i="5" s="1"/>
  <c r="N168" i="5" s="1"/>
  <c r="D36" i="18"/>
  <c r="W36" i="5" s="1"/>
  <c r="N36" i="5" s="1"/>
  <c r="E122" i="18"/>
  <c r="Y122" i="5" s="1"/>
  <c r="X121" i="5" s="1"/>
  <c r="O121" i="5" s="1"/>
  <c r="L121" i="18" s="1"/>
  <c r="H121" i="18" s="1"/>
  <c r="J119" i="18" s="1"/>
  <c r="E113" i="18"/>
  <c r="Y113" i="5" s="1"/>
  <c r="P113" i="5" s="1"/>
  <c r="X137" i="5"/>
  <c r="O137" i="5" s="1"/>
  <c r="L137" i="18" s="1"/>
  <c r="H137" i="18" s="1"/>
  <c r="V39" i="5"/>
  <c r="M39" i="5" s="1"/>
  <c r="K39" i="18" s="1"/>
  <c r="G39" i="18" s="1"/>
  <c r="E40" i="18"/>
  <c r="Y40" i="5" s="1"/>
  <c r="P40" i="5" s="1"/>
  <c r="E78" i="18"/>
  <c r="Y78" i="5" s="1"/>
  <c r="P78" i="5" s="1"/>
  <c r="E41" i="18"/>
  <c r="Y41" i="5" s="1"/>
  <c r="P41" i="5" s="1"/>
  <c r="V112" i="5"/>
  <c r="M112" i="5" s="1"/>
  <c r="K112" i="18" s="1"/>
  <c r="G112" i="18" s="1"/>
  <c r="I109" i="18" s="1"/>
  <c r="D110" i="18" s="1"/>
  <c r="W110" i="5" s="1"/>
  <c r="V137" i="5"/>
  <c r="M137" i="5" s="1"/>
  <c r="K137" i="18" s="1"/>
  <c r="G137" i="18" s="1"/>
  <c r="V76" i="5"/>
  <c r="M76" i="5" s="1"/>
  <c r="K76" i="18" s="1"/>
  <c r="G76" i="18" s="1"/>
  <c r="D55" i="18"/>
  <c r="W55" i="5" s="1"/>
  <c r="N55" i="5" s="1"/>
  <c r="E117" i="18"/>
  <c r="E159" i="18"/>
  <c r="D57" i="18"/>
  <c r="W57" i="5" s="1"/>
  <c r="N57" i="5" s="1"/>
  <c r="E145" i="18"/>
  <c r="Y145" i="5" s="1"/>
  <c r="P145" i="5" s="1"/>
  <c r="D56" i="18"/>
  <c r="W56" i="5" s="1"/>
  <c r="N56" i="5" s="1"/>
  <c r="V79" i="5"/>
  <c r="M79" i="5" s="1"/>
  <c r="K79" i="18" s="1"/>
  <c r="G79" i="18" s="1"/>
  <c r="V86" i="5"/>
  <c r="M86" i="5" s="1"/>
  <c r="K86" i="18" s="1"/>
  <c r="G86" i="18" s="1"/>
  <c r="V155" i="5"/>
  <c r="M155" i="5" s="1"/>
  <c r="K155" i="18" s="1"/>
  <c r="G155" i="18" s="1"/>
  <c r="I153" i="18" s="1"/>
  <c r="D154" i="18" s="1"/>
  <c r="W154" i="5" s="1"/>
  <c r="E158" i="18"/>
  <c r="Y158" i="5" s="1"/>
  <c r="P158" i="5" s="1"/>
  <c r="E172" i="18"/>
  <c r="Y172" i="5" s="1"/>
  <c r="P172" i="5" s="1"/>
  <c r="E171" i="18"/>
  <c r="Y171" i="5" s="1"/>
  <c r="E173" i="18"/>
  <c r="Y173" i="5" s="1"/>
  <c r="P173" i="5" s="1"/>
  <c r="E147" i="18"/>
  <c r="Y147" i="5" s="1"/>
  <c r="E149" i="18"/>
  <c r="Y149" i="5" s="1"/>
  <c r="P149" i="5" s="1"/>
  <c r="E148" i="18"/>
  <c r="Y148" i="5" s="1"/>
  <c r="P148" i="5" s="1"/>
  <c r="E151" i="18"/>
  <c r="Y151" i="5" s="1"/>
  <c r="P151" i="5" s="1"/>
  <c r="E152" i="18"/>
  <c r="Y152" i="5" s="1"/>
  <c r="P152" i="5" s="1"/>
  <c r="E150" i="18"/>
  <c r="Y150" i="5" s="1"/>
  <c r="P150" i="5" s="1"/>
  <c r="E57" i="18"/>
  <c r="Y57" i="5" s="1"/>
  <c r="P57" i="5" s="1"/>
  <c r="E54" i="18"/>
  <c r="Y54" i="5" s="1"/>
  <c r="E55" i="18"/>
  <c r="Y55" i="5" s="1"/>
  <c r="P55" i="5" s="1"/>
  <c r="E56" i="18"/>
  <c r="Y56" i="5" s="1"/>
  <c r="P56" i="5" s="1"/>
  <c r="E36" i="18"/>
  <c r="Y36" i="5" s="1"/>
  <c r="E38" i="18"/>
  <c r="Y38" i="5" s="1"/>
  <c r="P38" i="5" s="1"/>
  <c r="E37" i="18"/>
  <c r="Y37" i="5" s="1"/>
  <c r="P37" i="5" s="1"/>
  <c r="N144" i="5"/>
  <c r="V143" i="5"/>
  <c r="M143" i="5" s="1"/>
  <c r="K143" i="18" s="1"/>
  <c r="G143" i="18" s="1"/>
  <c r="I141" i="18" s="1"/>
  <c r="L70" i="18"/>
  <c r="H70" i="18" s="1"/>
  <c r="J67" i="18" s="1"/>
  <c r="X70" i="5"/>
  <c r="E99" i="18"/>
  <c r="Y99" i="5" s="1"/>
  <c r="E100" i="18"/>
  <c r="Y100" i="5" s="1"/>
  <c r="P100" i="5" s="1"/>
  <c r="P165" i="5"/>
  <c r="E94" i="18"/>
  <c r="Y94" i="5" s="1"/>
  <c r="P94" i="5" s="1"/>
  <c r="E91" i="18"/>
  <c r="Y91" i="5" s="1"/>
  <c r="E80" i="18"/>
  <c r="Y80" i="5" s="1"/>
  <c r="E84" i="18"/>
  <c r="Y84" i="5" s="1"/>
  <c r="P84" i="5" s="1"/>
  <c r="E85" i="18"/>
  <c r="Y85" i="5" s="1"/>
  <c r="P85" i="5" s="1"/>
  <c r="X13" i="5"/>
  <c r="L13" i="18"/>
  <c r="H13" i="18" s="1"/>
  <c r="J11" i="18" s="1"/>
  <c r="D68" i="18"/>
  <c r="W68" i="5" s="1"/>
  <c r="D69" i="18"/>
  <c r="W69" i="5" s="1"/>
  <c r="N69" i="5" s="1"/>
  <c r="D70" i="18"/>
  <c r="W70" i="5" s="1"/>
  <c r="N70" i="5" s="1"/>
  <c r="N49" i="5"/>
  <c r="P59" i="5"/>
  <c r="E128" i="18"/>
  <c r="Y128" i="5" s="1"/>
  <c r="P128" i="5" s="1"/>
  <c r="E130" i="18"/>
  <c r="Y130" i="5" s="1"/>
  <c r="P130" i="5" s="1"/>
  <c r="E16" i="18"/>
  <c r="Y16" i="5" s="1"/>
  <c r="P16" i="5" s="1"/>
  <c r="E18" i="18"/>
  <c r="Y18" i="5" s="1"/>
  <c r="P18" i="5" s="1"/>
  <c r="E15" i="18"/>
  <c r="Y15" i="5" s="1"/>
  <c r="E17" i="18"/>
  <c r="Y17" i="5" s="1"/>
  <c r="P17" i="5" s="1"/>
  <c r="P144" i="5"/>
  <c r="D94" i="18"/>
  <c r="W94" i="5" s="1"/>
  <c r="N94" i="5" s="1"/>
  <c r="D92" i="18"/>
  <c r="W92" i="5" s="1"/>
  <c r="N92" i="5" s="1"/>
  <c r="D93" i="18"/>
  <c r="W93" i="5" s="1"/>
  <c r="N93" i="5" s="1"/>
  <c r="D91" i="18"/>
  <c r="W91" i="5" s="1"/>
  <c r="D95" i="18"/>
  <c r="W95" i="5" s="1"/>
  <c r="N95" i="5" s="1"/>
  <c r="E177" i="18"/>
  <c r="Y177" i="5" s="1"/>
  <c r="P177" i="5" s="1"/>
  <c r="E175" i="18"/>
  <c r="Y175" i="5" s="1"/>
  <c r="E176" i="18"/>
  <c r="E32" i="18"/>
  <c r="Y32" i="5" s="1"/>
  <c r="P32" i="5" s="1"/>
  <c r="E33" i="18"/>
  <c r="Y33" i="5" s="1"/>
  <c r="P33" i="5" s="1"/>
  <c r="E103" i="18"/>
  <c r="Y103" i="5" s="1"/>
  <c r="E104" i="18"/>
  <c r="Y104" i="5" s="1"/>
  <c r="P104" i="5" s="1"/>
  <c r="E105" i="18"/>
  <c r="Y105" i="5" s="1"/>
  <c r="P105" i="5" s="1"/>
  <c r="E106" i="18"/>
  <c r="Y106" i="5" s="1"/>
  <c r="P106" i="5" s="1"/>
  <c r="E107" i="18"/>
  <c r="Y107" i="5" s="1"/>
  <c r="P107" i="5" s="1"/>
  <c r="E108" i="18"/>
  <c r="Y108" i="5" s="1"/>
  <c r="P108" i="5" s="1"/>
  <c r="E179" i="18"/>
  <c r="E180" i="18"/>
  <c r="E61" i="18"/>
  <c r="E109" i="18"/>
  <c r="E9" i="18"/>
  <c r="E49" i="18"/>
  <c r="Y49" i="5" s="1"/>
  <c r="E51" i="18"/>
  <c r="Y51" i="5" s="1"/>
  <c r="P51" i="5" s="1"/>
  <c r="N54" i="5"/>
  <c r="V72" i="5"/>
  <c r="K72" i="18"/>
  <c r="G72" i="18" s="1"/>
  <c r="I71" i="18" s="1"/>
  <c r="E126" i="18"/>
  <c r="E125" i="18"/>
  <c r="P77" i="5"/>
  <c r="E52" i="18" l="1"/>
  <c r="Y52" i="5" s="1"/>
  <c r="P52" i="5" s="1"/>
  <c r="E95" i="18"/>
  <c r="Y95" i="5" s="1"/>
  <c r="P95" i="5" s="1"/>
  <c r="E157" i="18"/>
  <c r="Y157" i="5" s="1"/>
  <c r="P157" i="5" s="1"/>
  <c r="E65" i="18"/>
  <c r="Y65" i="5" s="1"/>
  <c r="P65" i="5" s="1"/>
  <c r="E93" i="18"/>
  <c r="Y93" i="5" s="1"/>
  <c r="P93" i="5" s="1"/>
  <c r="E127" i="18"/>
  <c r="Y127" i="5" s="1"/>
  <c r="P127" i="5" s="1"/>
  <c r="E64" i="18"/>
  <c r="Y64" i="5" s="1"/>
  <c r="P64" i="5" s="1"/>
  <c r="E131" i="18"/>
  <c r="Y131" i="5" s="1"/>
  <c r="P131" i="5" s="1"/>
  <c r="E88" i="18"/>
  <c r="Y88" i="5" s="1"/>
  <c r="P88" i="5" s="1"/>
  <c r="E83" i="18"/>
  <c r="Y83" i="5" s="1"/>
  <c r="P83" i="5" s="1"/>
  <c r="E89" i="18"/>
  <c r="Y89" i="5" s="1"/>
  <c r="P89" i="5" s="1"/>
  <c r="E81" i="18"/>
  <c r="Y81" i="5" s="1"/>
  <c r="P81" i="5" s="1"/>
  <c r="E29" i="18"/>
  <c r="Y29" i="5" s="1"/>
  <c r="P29" i="5" s="1"/>
  <c r="E26" i="18"/>
  <c r="Y26" i="5" s="1"/>
  <c r="P26" i="5" s="1"/>
  <c r="E25" i="18"/>
  <c r="Y25" i="5" s="1"/>
  <c r="P25" i="5" s="1"/>
  <c r="E22" i="18"/>
  <c r="Y22" i="5" s="1"/>
  <c r="P22" i="5" s="1"/>
  <c r="E24" i="18"/>
  <c r="Y24" i="5" s="1"/>
  <c r="P24" i="5" s="1"/>
  <c r="E27" i="18"/>
  <c r="Y27" i="5" s="1"/>
  <c r="P27" i="5" s="1"/>
  <c r="E28" i="18"/>
  <c r="Y28" i="5" s="1"/>
  <c r="P28" i="5" s="1"/>
  <c r="E87" i="18"/>
  <c r="Y87" i="5" s="1"/>
  <c r="P87" i="5" s="1"/>
  <c r="K78" i="11"/>
  <c r="K75" i="11"/>
  <c r="K77" i="11"/>
  <c r="K79" i="11"/>
  <c r="V63" i="5"/>
  <c r="M63" i="5" s="1"/>
  <c r="K63" i="18" s="1"/>
  <c r="G63" i="18" s="1"/>
  <c r="I17" i="20"/>
  <c r="F16" i="11" s="1"/>
  <c r="F19" i="11" s="1"/>
  <c r="X58" i="5"/>
  <c r="O58" i="5" s="1"/>
  <c r="L58" i="18" s="1"/>
  <c r="H58" i="18" s="1"/>
  <c r="V48" i="5"/>
  <c r="N179" i="5"/>
  <c r="O120" i="6"/>
  <c r="I126" i="6"/>
  <c r="L126" i="6" s="1"/>
  <c r="L120" i="6"/>
  <c r="N99" i="5"/>
  <c r="V164" i="5"/>
  <c r="V14" i="5"/>
  <c r="M14" i="5" s="1"/>
  <c r="K14" i="18" s="1"/>
  <c r="G14" i="18" s="1"/>
  <c r="V102" i="5"/>
  <c r="M102" i="5" s="1"/>
  <c r="K102" i="18" s="1"/>
  <c r="G102" i="18" s="1"/>
  <c r="V146" i="5"/>
  <c r="M146" i="5" s="1"/>
  <c r="K146" i="18" s="1"/>
  <c r="G146" i="18" s="1"/>
  <c r="J133" i="18"/>
  <c r="E134" i="18" s="1"/>
  <c r="Y134" i="5" s="1"/>
  <c r="P122" i="5"/>
  <c r="O47" i="11"/>
  <c r="F47" i="11" s="1"/>
  <c r="F74" i="11"/>
  <c r="F65" i="11"/>
  <c r="D112" i="18"/>
  <c r="W112" i="5" s="1"/>
  <c r="N112" i="5" s="1"/>
  <c r="AQ112" i="5" s="1"/>
  <c r="D12" i="18"/>
  <c r="W12" i="5" s="1"/>
  <c r="N12" i="5" s="1"/>
  <c r="V21" i="5"/>
  <c r="V35" i="5"/>
  <c r="M35" i="5" s="1"/>
  <c r="K35" i="18" s="1"/>
  <c r="G35" i="18" s="1"/>
  <c r="I34" i="18" s="1"/>
  <c r="D111" i="18"/>
  <c r="W111" i="5" s="1"/>
  <c r="N111" i="5" s="1"/>
  <c r="AQ111" i="5" s="1"/>
  <c r="V174" i="5"/>
  <c r="M174" i="5" s="1"/>
  <c r="K174" i="18" s="1"/>
  <c r="G174" i="18" s="1"/>
  <c r="I169" i="18" s="1"/>
  <c r="D174" i="18" s="1"/>
  <c r="W174" i="5" s="1"/>
  <c r="N174" i="5" s="1"/>
  <c r="X76" i="5"/>
  <c r="O76" i="5" s="1"/>
  <c r="X112" i="5"/>
  <c r="Z112" i="5" s="1"/>
  <c r="Q112" i="5" s="1"/>
  <c r="Y50" i="4" s="1"/>
  <c r="Z50" i="4" s="1"/>
  <c r="X143" i="5"/>
  <c r="O143" i="5" s="1"/>
  <c r="L143" i="18" s="1"/>
  <c r="H143" i="18" s="1"/>
  <c r="J141" i="18" s="1"/>
  <c r="E142" i="18" s="1"/>
  <c r="Y142" i="5" s="1"/>
  <c r="X39" i="5"/>
  <c r="O39" i="5" s="1"/>
  <c r="L39" i="18" s="1"/>
  <c r="H39" i="18" s="1"/>
  <c r="K134" i="18"/>
  <c r="G134" i="18" s="1"/>
  <c r="I133" i="18" s="1"/>
  <c r="D137" i="18" s="1"/>
  <c r="W137" i="5" s="1"/>
  <c r="N137" i="5" s="1"/>
  <c r="M104" i="20"/>
  <c r="D155" i="18"/>
  <c r="W155" i="5" s="1"/>
  <c r="N155" i="5" s="1"/>
  <c r="V53" i="5"/>
  <c r="M53" i="5" s="1"/>
  <c r="K53" i="18" s="1"/>
  <c r="G53" i="18" s="1"/>
  <c r="N110" i="5"/>
  <c r="AQ110" i="5" s="1"/>
  <c r="P80" i="5"/>
  <c r="M98" i="5"/>
  <c r="K98" i="18" s="1"/>
  <c r="G98" i="18" s="1"/>
  <c r="D74" i="18"/>
  <c r="W74" i="5" s="1"/>
  <c r="N74" i="5" s="1"/>
  <c r="D72" i="18"/>
  <c r="W72" i="5" s="1"/>
  <c r="N72" i="5" s="1"/>
  <c r="D73" i="18"/>
  <c r="W73" i="5" s="1"/>
  <c r="N73" i="5" s="1"/>
  <c r="Y167" i="5"/>
  <c r="P167" i="5" s="1"/>
  <c r="Y180" i="5"/>
  <c r="P180" i="5" s="1"/>
  <c r="N91" i="5"/>
  <c r="V90" i="5"/>
  <c r="M90" i="5" s="1"/>
  <c r="K90" i="18" s="1"/>
  <c r="G90" i="18" s="1"/>
  <c r="I75" i="18" s="1"/>
  <c r="Y179" i="5"/>
  <c r="Y166" i="5"/>
  <c r="P103" i="5"/>
  <c r="X102" i="5"/>
  <c r="O102" i="5" s="1"/>
  <c r="L102" i="18" s="1"/>
  <c r="H102" i="18" s="1"/>
  <c r="P175" i="5"/>
  <c r="X174" i="5"/>
  <c r="O174" i="5" s="1"/>
  <c r="L174" i="18" s="1"/>
  <c r="H174" i="18" s="1"/>
  <c r="V67" i="5"/>
  <c r="M67" i="5" s="1"/>
  <c r="K67" i="18" s="1"/>
  <c r="G67" i="18" s="1"/>
  <c r="N68" i="5"/>
  <c r="E12" i="18"/>
  <c r="Y12" i="5" s="1"/>
  <c r="E13" i="18"/>
  <c r="Y13" i="5" s="1"/>
  <c r="P13" i="5" s="1"/>
  <c r="P15" i="5"/>
  <c r="X14" i="5"/>
  <c r="O14" i="5" s="1"/>
  <c r="L14" i="18" s="1"/>
  <c r="H14" i="18" s="1"/>
  <c r="X146" i="5"/>
  <c r="P147" i="5"/>
  <c r="P49" i="5"/>
  <c r="X48" i="5"/>
  <c r="P54" i="5"/>
  <c r="X53" i="5"/>
  <c r="O53" i="5" s="1"/>
  <c r="L53" i="18" s="1"/>
  <c r="H53" i="18" s="1"/>
  <c r="X155" i="5"/>
  <c r="O155" i="5" s="1"/>
  <c r="L155" i="18" s="1"/>
  <c r="H155" i="18" s="1"/>
  <c r="J153" i="18" s="1"/>
  <c r="P156" i="5"/>
  <c r="X90" i="5"/>
  <c r="O90" i="5" s="1"/>
  <c r="P91" i="5"/>
  <c r="P99" i="5"/>
  <c r="X98" i="5"/>
  <c r="E69" i="18"/>
  <c r="Y69" i="5" s="1"/>
  <c r="P69" i="5" s="1"/>
  <c r="E70" i="18"/>
  <c r="Y70" i="5" s="1"/>
  <c r="P70" i="5" s="1"/>
  <c r="E68" i="18"/>
  <c r="Y68" i="5" s="1"/>
  <c r="N154" i="5"/>
  <c r="D143" i="18"/>
  <c r="W143" i="5" s="1"/>
  <c r="N143" i="5" s="1"/>
  <c r="D142" i="18"/>
  <c r="W142" i="5" s="1"/>
  <c r="P36" i="5"/>
  <c r="X35" i="5"/>
  <c r="E121" i="18"/>
  <c r="Y121" i="5" s="1"/>
  <c r="P121" i="5" s="1"/>
  <c r="E120" i="18"/>
  <c r="Y120" i="5" s="1"/>
  <c r="P171" i="5"/>
  <c r="X170" i="5"/>
  <c r="M164" i="5" l="1"/>
  <c r="K164" i="18" s="1"/>
  <c r="G164" i="18" s="1"/>
  <c r="I161" i="18" s="1"/>
  <c r="D162" i="18" s="1"/>
  <c r="W162" i="5" s="1"/>
  <c r="N162" i="5" s="1"/>
  <c r="F24" i="21"/>
  <c r="O116" i="6"/>
  <c r="O135" i="6" s="1"/>
  <c r="AT109" i="5"/>
  <c r="AR109" i="5" s="1"/>
  <c r="X63" i="5"/>
  <c r="O63" i="5" s="1"/>
  <c r="L63" i="18" s="1"/>
  <c r="H63" i="18" s="1"/>
  <c r="X79" i="5"/>
  <c r="O79" i="5" s="1"/>
  <c r="L79" i="18" s="1"/>
  <c r="H79" i="18" s="1"/>
  <c r="X21" i="5"/>
  <c r="O21" i="5" s="1"/>
  <c r="L21" i="18" s="1"/>
  <c r="H21" i="18" s="1"/>
  <c r="J20" i="18" s="1"/>
  <c r="X86" i="5"/>
  <c r="O86" i="5" s="1"/>
  <c r="M48" i="5"/>
  <c r="K48" i="18" s="1"/>
  <c r="G48" i="18" s="1"/>
  <c r="M21" i="5"/>
  <c r="K21" i="18" s="1"/>
  <c r="G21" i="18" s="1"/>
  <c r="I20" i="18" s="1"/>
  <c r="D21" i="18" s="1"/>
  <c r="W21" i="5" s="1"/>
  <c r="E137" i="18"/>
  <c r="Y137" i="5" s="1"/>
  <c r="P137" i="5" s="1"/>
  <c r="E143" i="18"/>
  <c r="Y143" i="5" s="1"/>
  <c r="P143" i="5" s="1"/>
  <c r="I97" i="18"/>
  <c r="D102" i="18" s="1"/>
  <c r="W102" i="5" s="1"/>
  <c r="N102" i="5" s="1"/>
  <c r="F22" i="11"/>
  <c r="F23" i="11"/>
  <c r="F20" i="11"/>
  <c r="S118" i="5"/>
  <c r="F21" i="11"/>
  <c r="V11" i="5"/>
  <c r="F69" i="11"/>
  <c r="F68" i="11"/>
  <c r="F67" i="11"/>
  <c r="F71" i="11"/>
  <c r="F70" i="11"/>
  <c r="S124" i="5"/>
  <c r="J62" i="11"/>
  <c r="F78" i="11"/>
  <c r="F79" i="11"/>
  <c r="F77" i="11"/>
  <c r="F76" i="11"/>
  <c r="F75" i="11"/>
  <c r="S126" i="5"/>
  <c r="M126" i="5" s="1"/>
  <c r="F50" i="11"/>
  <c r="J45" i="11"/>
  <c r="F48" i="11"/>
  <c r="S121" i="5"/>
  <c r="M121" i="5" s="1"/>
  <c r="F51" i="11"/>
  <c r="F49" i="11"/>
  <c r="F52" i="11"/>
  <c r="O112" i="5"/>
  <c r="L112" i="18" s="1"/>
  <c r="H112" i="18" s="1"/>
  <c r="J109" i="18" s="1"/>
  <c r="E110" i="18" s="1"/>
  <c r="Y110" i="5" s="1"/>
  <c r="P110" i="5" s="1"/>
  <c r="D134" i="18"/>
  <c r="W134" i="5" s="1"/>
  <c r="N134" i="5" s="1"/>
  <c r="D178" i="18"/>
  <c r="W178" i="5" s="1"/>
  <c r="N178" i="5" s="1"/>
  <c r="D170" i="18"/>
  <c r="W170" i="5" s="1"/>
  <c r="N170" i="5" s="1"/>
  <c r="I47" i="18"/>
  <c r="D53" i="18" s="1"/>
  <c r="W53" i="5" s="1"/>
  <c r="N53" i="5" s="1"/>
  <c r="V153" i="5"/>
  <c r="M153" i="5" s="1"/>
  <c r="K153" i="18" s="1"/>
  <c r="G153" i="18" s="1"/>
  <c r="D79" i="18"/>
  <c r="W79" i="5" s="1"/>
  <c r="N79" i="5" s="1"/>
  <c r="D90" i="18"/>
  <c r="W90" i="5" s="1"/>
  <c r="N90" i="5" s="1"/>
  <c r="D86" i="18"/>
  <c r="W86" i="5" s="1"/>
  <c r="N86" i="5" s="1"/>
  <c r="D76" i="18"/>
  <c r="W76" i="5" s="1"/>
  <c r="O170" i="5"/>
  <c r="L170" i="18" s="1"/>
  <c r="H170" i="18" s="1"/>
  <c r="L90" i="18"/>
  <c r="H90" i="18" s="1"/>
  <c r="L86" i="18"/>
  <c r="H86" i="18" s="1"/>
  <c r="D31" i="18"/>
  <c r="W31" i="5" s="1"/>
  <c r="N31" i="5" s="1"/>
  <c r="P12" i="5"/>
  <c r="X11" i="5"/>
  <c r="O11" i="5" s="1"/>
  <c r="P179" i="5"/>
  <c r="X178" i="5"/>
  <c r="O178" i="5" s="1"/>
  <c r="L178" i="18" s="1"/>
  <c r="H178" i="18" s="1"/>
  <c r="Z109" i="5"/>
  <c r="O146" i="5"/>
  <c r="L146" i="18" s="1"/>
  <c r="H146" i="18" s="1"/>
  <c r="Z146" i="5"/>
  <c r="O98" i="5"/>
  <c r="L98" i="18" s="1"/>
  <c r="H98" i="18" s="1"/>
  <c r="J97" i="18" s="1"/>
  <c r="P142" i="5"/>
  <c r="O35" i="5"/>
  <c r="L35" i="18" s="1"/>
  <c r="H35" i="18" s="1"/>
  <c r="J34" i="18" s="1"/>
  <c r="E154" i="18"/>
  <c r="Y154" i="5" s="1"/>
  <c r="E155" i="18"/>
  <c r="Y155" i="5" s="1"/>
  <c r="P155" i="5" s="1"/>
  <c r="O48" i="5"/>
  <c r="L48" i="18" s="1"/>
  <c r="H48" i="18" s="1"/>
  <c r="J47" i="18" s="1"/>
  <c r="X119" i="5"/>
  <c r="P120" i="5"/>
  <c r="N142" i="5"/>
  <c r="V141" i="5"/>
  <c r="M141" i="5" s="1"/>
  <c r="K141" i="18" s="1"/>
  <c r="G141" i="18" s="1"/>
  <c r="P68" i="5"/>
  <c r="X67" i="5"/>
  <c r="O67" i="5" s="1"/>
  <c r="L67" i="18" s="1"/>
  <c r="H67" i="18" s="1"/>
  <c r="L72" i="18"/>
  <c r="H72" i="18" s="1"/>
  <c r="J71" i="18" s="1"/>
  <c r="L76" i="18"/>
  <c r="H76" i="18" s="1"/>
  <c r="P134" i="5"/>
  <c r="P166" i="5"/>
  <c r="X164" i="5"/>
  <c r="O164" i="5" s="1"/>
  <c r="L164" i="18" s="1"/>
  <c r="H164" i="18" s="1"/>
  <c r="J161" i="18" s="1"/>
  <c r="V71" i="5"/>
  <c r="M71" i="5" s="1"/>
  <c r="K71" i="18" s="1"/>
  <c r="G71" i="18" s="1"/>
  <c r="I62" i="18" s="1"/>
  <c r="D39" i="18"/>
  <c r="W39" i="5" s="1"/>
  <c r="N39" i="5" s="1"/>
  <c r="D46" i="18"/>
  <c r="W46" i="5" s="1"/>
  <c r="N46" i="5" s="1"/>
  <c r="D43" i="18"/>
  <c r="W43" i="5" s="1"/>
  <c r="N43" i="5" s="1"/>
  <c r="D35" i="18"/>
  <c r="W35" i="5" s="1"/>
  <c r="D163" i="18" l="1"/>
  <c r="W163" i="5" s="1"/>
  <c r="N163" i="5" s="1"/>
  <c r="D164" i="18"/>
  <c r="W164" i="5" s="1"/>
  <c r="N164" i="5" s="1"/>
  <c r="Q146" i="5"/>
  <c r="V60" i="4" s="1"/>
  <c r="W60" i="4" s="1"/>
  <c r="F23" i="21"/>
  <c r="J15" i="14"/>
  <c r="O136" i="6"/>
  <c r="K15" i="14" s="1"/>
  <c r="D46" i="16"/>
  <c r="U39" i="4" s="1"/>
  <c r="Y39" i="4" s="1"/>
  <c r="D98" i="18"/>
  <c r="W98" i="5" s="1"/>
  <c r="D30" i="18"/>
  <c r="W30" i="5" s="1"/>
  <c r="N30" i="5" s="1"/>
  <c r="V34" i="5"/>
  <c r="M34" i="5" s="1"/>
  <c r="K34" i="18" s="1"/>
  <c r="G34" i="18" s="1"/>
  <c r="M11" i="5"/>
  <c r="K11" i="18" s="1"/>
  <c r="G11" i="18" s="1"/>
  <c r="I10" i="18" s="1"/>
  <c r="D19" i="18" s="1"/>
  <c r="W19" i="5" s="1"/>
  <c r="N19" i="5" s="1"/>
  <c r="M124" i="5"/>
  <c r="AT124" i="5"/>
  <c r="AP124" i="5" s="1"/>
  <c r="M118" i="5"/>
  <c r="V118" i="5" s="1"/>
  <c r="Z118" i="5" s="1"/>
  <c r="Q118" i="5" s="1"/>
  <c r="S59" i="4" s="1"/>
  <c r="T59" i="4" s="1"/>
  <c r="AT118" i="5"/>
  <c r="AP118" i="5" s="1"/>
  <c r="X141" i="5"/>
  <c r="O141" i="5" s="1"/>
  <c r="L141" i="18" s="1"/>
  <c r="H141" i="18" s="1"/>
  <c r="D101" i="18"/>
  <c r="W101" i="5" s="1"/>
  <c r="N101" i="5" s="1"/>
  <c r="X133" i="5"/>
  <c r="O133" i="5" s="1"/>
  <c r="L133" i="18" s="1"/>
  <c r="H133" i="18" s="1"/>
  <c r="E111" i="18"/>
  <c r="Y111" i="5" s="1"/>
  <c r="P111" i="5" s="1"/>
  <c r="E112" i="18"/>
  <c r="Y112" i="5" s="1"/>
  <c r="P112" i="5" s="1"/>
  <c r="I140" i="18"/>
  <c r="D153" i="18" s="1"/>
  <c r="W153" i="5" s="1"/>
  <c r="N153" i="5" s="1"/>
  <c r="AQ153" i="5" s="1"/>
  <c r="K121" i="18"/>
  <c r="G121" i="18" s="1"/>
  <c r="I119" i="18" s="1"/>
  <c r="V121" i="5"/>
  <c r="V126" i="5"/>
  <c r="K126" i="18"/>
  <c r="G126" i="18" s="1"/>
  <c r="I124" i="18" s="1"/>
  <c r="V133" i="5"/>
  <c r="M133" i="5" s="1"/>
  <c r="K133" i="18" s="1"/>
  <c r="G133" i="18" s="1"/>
  <c r="V169" i="5"/>
  <c r="M169" i="5" s="1"/>
  <c r="K169" i="18" s="1"/>
  <c r="G169" i="18" s="1"/>
  <c r="D58" i="18"/>
  <c r="W58" i="5" s="1"/>
  <c r="N58" i="5" s="1"/>
  <c r="D48" i="18"/>
  <c r="W48" i="5" s="1"/>
  <c r="J75" i="18"/>
  <c r="E76" i="18" s="1"/>
  <c r="Y76" i="5" s="1"/>
  <c r="N35" i="5"/>
  <c r="D63" i="18"/>
  <c r="W63" i="5" s="1"/>
  <c r="D71" i="18"/>
  <c r="W71" i="5" s="1"/>
  <c r="N71" i="5" s="1"/>
  <c r="D67" i="18"/>
  <c r="W67" i="5" s="1"/>
  <c r="N67" i="5" s="1"/>
  <c r="P154" i="5"/>
  <c r="X153" i="5"/>
  <c r="N76" i="5"/>
  <c r="V75" i="5"/>
  <c r="M75" i="5" s="1"/>
  <c r="K75" i="18" s="1"/>
  <c r="G75" i="18" s="1"/>
  <c r="O119" i="5"/>
  <c r="L119" i="18" s="1"/>
  <c r="H119" i="18" s="1"/>
  <c r="N21" i="5"/>
  <c r="N98" i="5"/>
  <c r="E164" i="18"/>
  <c r="Y164" i="5" s="1"/>
  <c r="P164" i="5" s="1"/>
  <c r="E163" i="18"/>
  <c r="Y163" i="5" s="1"/>
  <c r="P163" i="5" s="1"/>
  <c r="E162" i="18"/>
  <c r="Y162" i="5" s="1"/>
  <c r="E101" i="18"/>
  <c r="Y101" i="5" s="1"/>
  <c r="P101" i="5" s="1"/>
  <c r="E98" i="18"/>
  <c r="Y98" i="5" s="1"/>
  <c r="E102" i="18"/>
  <c r="Y102" i="5" s="1"/>
  <c r="P102" i="5" s="1"/>
  <c r="L11" i="18"/>
  <c r="H11" i="18" s="1"/>
  <c r="J10" i="18" s="1"/>
  <c r="E73" i="18"/>
  <c r="Y73" i="5" s="1"/>
  <c r="P73" i="5" s="1"/>
  <c r="E74" i="18"/>
  <c r="Y74" i="5" s="1"/>
  <c r="P74" i="5" s="1"/>
  <c r="E72" i="18"/>
  <c r="Y72" i="5" s="1"/>
  <c r="E53" i="18"/>
  <c r="Y53" i="5" s="1"/>
  <c r="P53" i="5" s="1"/>
  <c r="E58" i="18"/>
  <c r="Y58" i="5" s="1"/>
  <c r="P58" i="5" s="1"/>
  <c r="E48" i="18"/>
  <c r="Y48" i="5" s="1"/>
  <c r="E35" i="18"/>
  <c r="Y35" i="5" s="1"/>
  <c r="E43" i="18"/>
  <c r="Y43" i="5" s="1"/>
  <c r="P43" i="5" s="1"/>
  <c r="E46" i="18"/>
  <c r="Y46" i="5" s="1"/>
  <c r="P46" i="5" s="1"/>
  <c r="E39" i="18"/>
  <c r="Y39" i="5" s="1"/>
  <c r="P39" i="5" s="1"/>
  <c r="Q109" i="5"/>
  <c r="Z45" i="4"/>
  <c r="E21" i="18"/>
  <c r="Y21" i="5" s="1"/>
  <c r="E31" i="18"/>
  <c r="Y31" i="5" s="1"/>
  <c r="P31" i="5" s="1"/>
  <c r="E30" i="18"/>
  <c r="Y30" i="5" s="1"/>
  <c r="P30" i="5" s="1"/>
  <c r="J169" i="18"/>
  <c r="V161" i="5" l="1"/>
  <c r="M161" i="5" s="1"/>
  <c r="K161" i="18" s="1"/>
  <c r="G161" i="18" s="1"/>
  <c r="V20" i="5"/>
  <c r="M20" i="5" s="1"/>
  <c r="K20" i="18" s="1"/>
  <c r="G20" i="18" s="1"/>
  <c r="D11" i="18"/>
  <c r="W11" i="5" s="1"/>
  <c r="N11" i="5" s="1"/>
  <c r="D14" i="18"/>
  <c r="W14" i="5" s="1"/>
  <c r="N14" i="5" s="1"/>
  <c r="N48" i="5"/>
  <c r="V47" i="5"/>
  <c r="M47" i="5" s="1"/>
  <c r="K47" i="18" s="1"/>
  <c r="G47" i="18" s="1"/>
  <c r="K118" i="18"/>
  <c r="G118" i="18" s="1"/>
  <c r="D141" i="18"/>
  <c r="W141" i="5" s="1"/>
  <c r="N141" i="5" s="1"/>
  <c r="AQ141" i="5" s="1"/>
  <c r="Z141" i="5"/>
  <c r="V97" i="5"/>
  <c r="M97" i="5" s="1"/>
  <c r="K97" i="18" s="1"/>
  <c r="G97" i="18" s="1"/>
  <c r="D146" i="18"/>
  <c r="W146" i="5" s="1"/>
  <c r="N146" i="5" s="1"/>
  <c r="AQ146" i="5" s="1"/>
  <c r="E79" i="18"/>
  <c r="Y79" i="5" s="1"/>
  <c r="P79" i="5" s="1"/>
  <c r="D121" i="18"/>
  <c r="W121" i="5" s="1"/>
  <c r="N121" i="5" s="1"/>
  <c r="D120" i="18"/>
  <c r="W120" i="5" s="1"/>
  <c r="D125" i="18"/>
  <c r="W125" i="5" s="1"/>
  <c r="N125" i="5" s="1"/>
  <c r="D126" i="18"/>
  <c r="W126" i="5" s="1"/>
  <c r="N126" i="5" s="1"/>
  <c r="Z133" i="5"/>
  <c r="Q133" i="5" s="1"/>
  <c r="S62" i="4" s="1"/>
  <c r="T62" i="4" s="1"/>
  <c r="E90" i="18"/>
  <c r="Y90" i="5" s="1"/>
  <c r="P90" i="5" s="1"/>
  <c r="E86" i="18"/>
  <c r="Y86" i="5" s="1"/>
  <c r="P86" i="5" s="1"/>
  <c r="J117" i="18"/>
  <c r="E124" i="18" s="1"/>
  <c r="N104" i="20"/>
  <c r="L74" i="20" s="1"/>
  <c r="Y34" i="5"/>
  <c r="P34" i="5" s="1"/>
  <c r="P35" i="5"/>
  <c r="X34" i="5"/>
  <c r="P76" i="5"/>
  <c r="E170" i="18"/>
  <c r="Y170" i="5" s="1"/>
  <c r="E178" i="18"/>
  <c r="Y178" i="5" s="1"/>
  <c r="P178" i="5" s="1"/>
  <c r="E174" i="18"/>
  <c r="Y174" i="5" s="1"/>
  <c r="P174" i="5" s="1"/>
  <c r="P48" i="5"/>
  <c r="Y47" i="5"/>
  <c r="P47" i="5" s="1"/>
  <c r="X47" i="5"/>
  <c r="Y97" i="5"/>
  <c r="P97" i="5" s="1"/>
  <c r="P98" i="5"/>
  <c r="X97" i="5"/>
  <c r="O153" i="5"/>
  <c r="L153" i="18" s="1"/>
  <c r="H153" i="18" s="1"/>
  <c r="J140" i="18" s="1"/>
  <c r="Z153" i="5"/>
  <c r="Q153" i="5" s="1"/>
  <c r="V61" i="4" s="1"/>
  <c r="W61" i="4" s="1"/>
  <c r="N63" i="5"/>
  <c r="V62" i="5"/>
  <c r="M62" i="5" s="1"/>
  <c r="K62" i="18" s="1"/>
  <c r="G62" i="18" s="1"/>
  <c r="K109" i="18"/>
  <c r="G109" i="18" s="1"/>
  <c r="Y45" i="4"/>
  <c r="P162" i="5"/>
  <c r="X161" i="5"/>
  <c r="E14" i="18"/>
  <c r="Y14" i="5" s="1"/>
  <c r="P14" i="5" s="1"/>
  <c r="E19" i="18"/>
  <c r="Y19" i="5" s="1"/>
  <c r="P19" i="5" s="1"/>
  <c r="E11" i="18"/>
  <c r="Y11" i="5" s="1"/>
  <c r="P21" i="5"/>
  <c r="Y20" i="5"/>
  <c r="P20" i="5" s="1"/>
  <c r="X20" i="5"/>
  <c r="P72" i="5"/>
  <c r="X71" i="5"/>
  <c r="O71" i="5" s="1"/>
  <c r="Q141" i="5" l="1"/>
  <c r="V59" i="4" s="1"/>
  <c r="W59" i="4" s="1"/>
  <c r="F22" i="21"/>
  <c r="V10" i="5"/>
  <c r="M10" i="5" s="1"/>
  <c r="K10" i="18" s="1"/>
  <c r="G10" i="18" s="1"/>
  <c r="I9" i="18" s="1"/>
  <c r="D20" i="18" s="1"/>
  <c r="W20" i="5" s="1"/>
  <c r="N20" i="5" s="1"/>
  <c r="AQ20" i="5" s="1"/>
  <c r="AT140" i="5"/>
  <c r="AR140" i="5" s="1"/>
  <c r="Z97" i="5"/>
  <c r="Q97" i="5" s="1"/>
  <c r="V50" i="4" s="1"/>
  <c r="W50" i="4" s="1"/>
  <c r="I61" i="18"/>
  <c r="D62" i="18" s="1"/>
  <c r="W62" i="5" s="1"/>
  <c r="N62" i="5" s="1"/>
  <c r="AQ62" i="5" s="1"/>
  <c r="X75" i="5"/>
  <c r="O75" i="5" s="1"/>
  <c r="N74" i="20"/>
  <c r="I118" i="6" s="1"/>
  <c r="V119" i="5"/>
  <c r="N120" i="5"/>
  <c r="Y75" i="5"/>
  <c r="P75" i="5" s="1"/>
  <c r="E118" i="18"/>
  <c r="Y118" i="5" s="1"/>
  <c r="P118" i="5" s="1"/>
  <c r="Z140" i="5"/>
  <c r="Q140" i="5" s="1"/>
  <c r="E119" i="18"/>
  <c r="Y119" i="5" s="1"/>
  <c r="P119" i="5" s="1"/>
  <c r="E133" i="18"/>
  <c r="Y133" i="5" s="1"/>
  <c r="P133" i="5" s="1"/>
  <c r="E153" i="18"/>
  <c r="Y153" i="5" s="1"/>
  <c r="P153" i="5" s="1"/>
  <c r="E141" i="18"/>
  <c r="Y141" i="5" s="1"/>
  <c r="P141" i="5" s="1"/>
  <c r="E146" i="18"/>
  <c r="Y146" i="5" s="1"/>
  <c r="P146" i="5" s="1"/>
  <c r="P11" i="5"/>
  <c r="Y10" i="5"/>
  <c r="P10" i="5" s="1"/>
  <c r="X10" i="5"/>
  <c r="O47" i="5"/>
  <c r="L47" i="18" s="1"/>
  <c r="H47" i="18" s="1"/>
  <c r="Z47" i="5"/>
  <c r="Q47" i="5" s="1"/>
  <c r="S51" i="4" s="1"/>
  <c r="T51" i="4" s="1"/>
  <c r="O20" i="5"/>
  <c r="L20" i="18" s="1"/>
  <c r="H20" i="18" s="1"/>
  <c r="Z20" i="5"/>
  <c r="Q20" i="5" s="1"/>
  <c r="S49" i="4" s="1"/>
  <c r="T49" i="4" s="1"/>
  <c r="O161" i="5"/>
  <c r="L161" i="18" s="1"/>
  <c r="H161" i="18" s="1"/>
  <c r="Z161" i="5"/>
  <c r="Q161" i="5" s="1"/>
  <c r="Y60" i="4" s="1"/>
  <c r="Z60" i="4" s="1"/>
  <c r="O42" i="4"/>
  <c r="Z10" i="4"/>
  <c r="O97" i="5"/>
  <c r="L97" i="18" s="1"/>
  <c r="H97" i="18" s="1"/>
  <c r="P170" i="5"/>
  <c r="X169" i="5"/>
  <c r="O34" i="5"/>
  <c r="L34" i="18" s="1"/>
  <c r="H34" i="18" s="1"/>
  <c r="Z34" i="5"/>
  <c r="Q34" i="5" s="1"/>
  <c r="S50" i="4" s="1"/>
  <c r="T50" i="4" s="1"/>
  <c r="D75" i="18" l="1"/>
  <c r="W75" i="5" s="1"/>
  <c r="N75" i="5" s="1"/>
  <c r="AQ75" i="5" s="1"/>
  <c r="D97" i="18"/>
  <c r="W97" i="5" s="1"/>
  <c r="N97" i="5" s="1"/>
  <c r="AQ97" i="5" s="1"/>
  <c r="I125" i="6"/>
  <c r="E59" i="16" s="1"/>
  <c r="L118" i="6"/>
  <c r="Z75" i="5"/>
  <c r="Q75" i="5" s="1"/>
  <c r="V49" i="4" s="1"/>
  <c r="W49" i="4" s="1"/>
  <c r="M119" i="5"/>
  <c r="K119" i="18" s="1"/>
  <c r="G119" i="18" s="1"/>
  <c r="Z119" i="5"/>
  <c r="Q119" i="5" s="1"/>
  <c r="S60" i="4" s="1"/>
  <c r="T60" i="4" s="1"/>
  <c r="D47" i="18"/>
  <c r="W47" i="5" s="1"/>
  <c r="N47" i="5" s="1"/>
  <c r="AQ47" i="5" s="1"/>
  <c r="D34" i="18"/>
  <c r="W34" i="5" s="1"/>
  <c r="N34" i="5" s="1"/>
  <c r="AQ34" i="5" s="1"/>
  <c r="D10" i="18"/>
  <c r="W10" i="5" s="1"/>
  <c r="N10" i="5" s="1"/>
  <c r="AQ10" i="5" s="1"/>
  <c r="W56" i="4"/>
  <c r="K140" i="18"/>
  <c r="G140" i="18" s="1"/>
  <c r="V56" i="4"/>
  <c r="L75" i="18"/>
  <c r="H75" i="18" s="1"/>
  <c r="L71" i="18"/>
  <c r="H71" i="18" s="1"/>
  <c r="J62" i="18" s="1"/>
  <c r="O169" i="5"/>
  <c r="L169" i="18" s="1"/>
  <c r="H169" i="18" s="1"/>
  <c r="J159" i="18" s="1"/>
  <c r="Z169" i="5"/>
  <c r="Q169" i="5" s="1"/>
  <c r="Y61" i="4" s="1"/>
  <c r="Z61" i="4" s="1"/>
  <c r="O10" i="5"/>
  <c r="L10" i="18" s="1"/>
  <c r="H10" i="18" s="1"/>
  <c r="J9" i="18" s="1"/>
  <c r="Z10" i="5"/>
  <c r="L116" i="6" l="1"/>
  <c r="E46" i="16" s="1"/>
  <c r="U40" i="4" s="1"/>
  <c r="Y40" i="4" s="1"/>
  <c r="X40" i="4" s="1"/>
  <c r="AT9" i="5"/>
  <c r="AT61" i="5"/>
  <c r="AR61" i="5" s="1"/>
  <c r="L125" i="6"/>
  <c r="L123" i="6" s="1"/>
  <c r="E85" i="17"/>
  <c r="E88" i="17" s="1"/>
  <c r="E89" i="17" s="1"/>
  <c r="E160" i="18"/>
  <c r="Y160" i="5" s="1"/>
  <c r="P160" i="5" s="1"/>
  <c r="E169" i="18"/>
  <c r="Y169" i="5" s="1"/>
  <c r="P169" i="5" s="1"/>
  <c r="E161" i="18"/>
  <c r="Y161" i="5" s="1"/>
  <c r="P161" i="5" s="1"/>
  <c r="Q10" i="5"/>
  <c r="S48" i="4" s="1"/>
  <c r="Z9" i="5"/>
  <c r="E47" i="18"/>
  <c r="E10" i="18"/>
  <c r="E34" i="18"/>
  <c r="E20" i="18"/>
  <c r="E67" i="18"/>
  <c r="Y67" i="5" s="1"/>
  <c r="P67" i="5" s="1"/>
  <c r="E71" i="18"/>
  <c r="Y71" i="5" s="1"/>
  <c r="P71" i="5" s="1"/>
  <c r="E63" i="18"/>
  <c r="Y63" i="5" s="1"/>
  <c r="K53" i="4"/>
  <c r="Z12" i="4"/>
  <c r="L135" i="6" l="1"/>
  <c r="AR9" i="5"/>
  <c r="T48" i="4"/>
  <c r="R53" i="4"/>
  <c r="Q9" i="5"/>
  <c r="T45" i="4"/>
  <c r="Y62" i="5"/>
  <c r="P62" i="5" s="1"/>
  <c r="P63" i="5"/>
  <c r="X62" i="5"/>
  <c r="E47" i="16" l="1"/>
  <c r="E52" i="16" s="1"/>
  <c r="W42" i="4" s="1"/>
  <c r="Y42" i="4" s="1"/>
  <c r="X42" i="4" s="1"/>
  <c r="L136" i="6"/>
  <c r="K16" i="14" s="1"/>
  <c r="L16" i="14" s="1"/>
  <c r="O15" i="14" s="1"/>
  <c r="F7" i="14" s="1"/>
  <c r="F9" i="14" s="1"/>
  <c r="J16" i="14"/>
  <c r="Z62" i="5"/>
  <c r="O62" i="5"/>
  <c r="L62" i="18" s="1"/>
  <c r="H62" i="18" s="1"/>
  <c r="J61" i="18" s="1"/>
  <c r="K9" i="18"/>
  <c r="G9" i="18" s="1"/>
  <c r="S45" i="4"/>
  <c r="V41" i="4" l="1"/>
  <c r="Y41" i="4" s="1"/>
  <c r="X41" i="4" s="1"/>
  <c r="T35" i="4" s="1"/>
  <c r="S35" i="4" s="1"/>
  <c r="S36" i="4" s="1"/>
  <c r="F11" i="14"/>
  <c r="F8" i="14"/>
  <c r="S160" i="5"/>
  <c r="AT160" i="5" s="1"/>
  <c r="AP160" i="5" s="1"/>
  <c r="F12" i="14"/>
  <c r="F10" i="14"/>
  <c r="Q62" i="5"/>
  <c r="V48" i="4" s="1"/>
  <c r="W48" i="4" s="1"/>
  <c r="Z61" i="5"/>
  <c r="Z14" i="4"/>
  <c r="G42" i="4"/>
  <c r="E62" i="18"/>
  <c r="E75" i="18"/>
  <c r="E97" i="18"/>
  <c r="M160" i="5" l="1"/>
  <c r="V160" i="5" s="1"/>
  <c r="Z160" i="5" s="1"/>
  <c r="Q61" i="5"/>
  <c r="W45" i="4"/>
  <c r="Q160" i="5" l="1"/>
  <c r="Y59" i="4" s="1"/>
  <c r="Z59" i="4" s="1"/>
  <c r="F14" i="21"/>
  <c r="K160" i="18"/>
  <c r="G160" i="18" s="1"/>
  <c r="I159" i="18" s="1"/>
  <c r="D160" i="18" s="1"/>
  <c r="W160" i="5" s="1"/>
  <c r="N160" i="5" s="1"/>
  <c r="AQ160" i="5" s="1"/>
  <c r="K61" i="18"/>
  <c r="G61" i="18" s="1"/>
  <c r="I8" i="18" s="1"/>
  <c r="V45" i="4"/>
  <c r="D161" i="18" l="1"/>
  <c r="W161" i="5" s="1"/>
  <c r="N161" i="5" s="1"/>
  <c r="AQ161" i="5" s="1"/>
  <c r="D169" i="18"/>
  <c r="W169" i="5" s="1"/>
  <c r="N169" i="5" s="1"/>
  <c r="AQ169" i="5" s="1"/>
  <c r="AT159" i="5" s="1"/>
  <c r="AR159" i="5" s="1"/>
  <c r="K42" i="4"/>
  <c r="Z9" i="4"/>
  <c r="D61" i="18"/>
  <c r="W61" i="5" s="1"/>
  <c r="N61" i="5" s="1"/>
  <c r="AQ61" i="5" s="1"/>
  <c r="D9" i="18"/>
  <c r="W9" i="5" s="1"/>
  <c r="D109" i="18"/>
  <c r="W109" i="5" s="1"/>
  <c r="N109" i="5" l="1"/>
  <c r="AQ109" i="5" s="1"/>
  <c r="G18" i="21"/>
  <c r="G20" i="21"/>
  <c r="G17" i="21"/>
  <c r="H16" i="21" s="1"/>
  <c r="Z159" i="5"/>
  <c r="Q159" i="5" s="1"/>
  <c r="K159" i="18" s="1"/>
  <c r="G159" i="18" s="1"/>
  <c r="Z8" i="5"/>
  <c r="N9" i="5"/>
  <c r="AQ9" i="5" s="1"/>
  <c r="G32" i="21" l="1"/>
  <c r="L17" i="21"/>
  <c r="M17" i="21" s="1"/>
  <c r="AT8" i="5"/>
  <c r="AR8" i="5" s="1"/>
  <c r="Y56" i="4"/>
  <c r="O53" i="4" s="1"/>
  <c r="Z56" i="4"/>
  <c r="S8" i="4"/>
  <c r="S10" i="4" s="1"/>
  <c r="Q8" i="5"/>
  <c r="N40" i="4" s="1"/>
  <c r="Z11" i="4" l="1"/>
  <c r="T24" i="4"/>
  <c r="T26" i="4" l="1"/>
  <c r="U26" i="4"/>
  <c r="V124" i="5"/>
  <c r="Z124" i="5" s="1"/>
  <c r="Q124" i="5" s="1"/>
  <c r="S61" i="4" s="1"/>
  <c r="T61" i="4" s="1"/>
  <c r="K124" i="18"/>
  <c r="G124" i="18" s="1"/>
  <c r="I117" i="18" s="1"/>
  <c r="D133" i="18" l="1"/>
  <c r="W133" i="5" s="1"/>
  <c r="N133" i="5" s="1"/>
  <c r="AQ133" i="5" s="1"/>
  <c r="D119" i="18"/>
  <c r="W119" i="5" s="1"/>
  <c r="N119" i="5" s="1"/>
  <c r="AQ119" i="5" s="1"/>
  <c r="D118" i="18"/>
  <c r="W118" i="5" s="1"/>
  <c r="D124" i="18"/>
  <c r="W124" i="5" s="1"/>
  <c r="N124" i="5" s="1"/>
  <c r="AQ124" i="5" s="1"/>
  <c r="Z117" i="5" l="1"/>
  <c r="F13" i="21" s="1"/>
  <c r="N118" i="5"/>
  <c r="AQ118" i="5" s="1"/>
  <c r="AT117" i="5" s="1"/>
  <c r="AR117" i="5" s="1"/>
  <c r="T56" i="4" l="1"/>
  <c r="Q117" i="5"/>
  <c r="K117" i="18" l="1"/>
  <c r="G117" i="18" s="1"/>
  <c r="I116" i="18" s="1"/>
  <c r="S56" i="4"/>
  <c r="Z13" i="4" l="1"/>
  <c r="G53" i="4"/>
  <c r="D140" i="18"/>
  <c r="W140" i="5" s="1"/>
  <c r="D159" i="18"/>
  <c r="W159" i="5" s="1"/>
  <c r="D117" i="18"/>
  <c r="W117" i="5" s="1"/>
  <c r="G13" i="21" s="1"/>
  <c r="N159" i="5" l="1"/>
  <c r="AQ159" i="5" s="1"/>
  <c r="G15" i="21"/>
  <c r="G24" i="21"/>
  <c r="G14" i="21"/>
  <c r="N140" i="5"/>
  <c r="AQ140" i="5" s="1"/>
  <c r="G22" i="21"/>
  <c r="G23" i="21"/>
  <c r="N117" i="5"/>
  <c r="AQ117" i="5" s="1"/>
  <c r="Z116" i="5"/>
  <c r="H12" i="21" l="1"/>
  <c r="G27" i="21" s="1"/>
  <c r="H21" i="21"/>
  <c r="L22" i="21" s="1"/>
  <c r="M22" i="21" s="1"/>
  <c r="AT116" i="5"/>
  <c r="AR116" i="5" s="1"/>
  <c r="S9" i="4"/>
  <c r="S11" i="4" s="1"/>
  <c r="Q116" i="5"/>
  <c r="L13" i="21" l="1"/>
  <c r="M13" i="21" s="1"/>
  <c r="G37" i="21"/>
  <c r="K116" i="18"/>
  <c r="G116" i="18" s="1"/>
  <c r="N51" i="4"/>
  <c r="T23" i="4"/>
  <c r="S12" i="4"/>
  <c r="S13" i="4" l="1"/>
  <c r="C24" i="4" s="1"/>
  <c r="S25" i="4"/>
  <c r="T25" i="4"/>
  <c r="S15" i="4" l="1"/>
  <c r="S16" i="4" s="1"/>
  <c r="F92" i="11" l="1"/>
</calcChain>
</file>

<file path=xl/comments1.xml><?xml version="1.0" encoding="utf-8"?>
<comments xmlns="http://schemas.openxmlformats.org/spreadsheetml/2006/main">
  <authors>
    <author xml:space="preserve">日建設計 </author>
    <author>Junko ENDO</author>
  </authors>
  <commentList>
    <comment ref="C15" authorId="0">
      <text>
        <r>
          <rPr>
            <sz val="9"/>
            <color indexed="81"/>
            <rFont val="ＭＳ Ｐゴシック"/>
            <family val="3"/>
            <charset val="128"/>
          </rPr>
          <t>2003/6等と入力して下さい。
2003年6月と表示されます。</t>
        </r>
      </text>
    </comment>
    <comment ref="C39" authorId="0">
      <text>
        <r>
          <rPr>
            <sz val="9"/>
            <color indexed="81"/>
            <rFont val="ＭＳ Ｐゴシック"/>
            <family val="3"/>
            <charset val="128"/>
          </rPr>
          <t>2003/6等と入力して下さい。
2003年6月と表示されます。</t>
        </r>
      </text>
    </comment>
    <comment ref="B41" authorId="1">
      <text>
        <r>
          <rPr>
            <sz val="9"/>
            <color indexed="81"/>
            <rFont val="ＭＳ Ｐゴシック"/>
            <family val="3"/>
            <charset val="128"/>
          </rPr>
          <t>第３者による評価結果の確認などを行っている場合は記述する。</t>
        </r>
      </text>
    </comment>
    <comment ref="C41" authorId="0">
      <text>
        <r>
          <rPr>
            <sz val="9"/>
            <color indexed="81"/>
            <rFont val="ＭＳ Ｐゴシック"/>
            <family val="3"/>
            <charset val="128"/>
          </rPr>
          <t>2003/6等と入力して下さい。
2003年6月と表示されます。</t>
        </r>
      </text>
    </comment>
    <comment ref="F68" authorId="0">
      <text>
        <r>
          <rPr>
            <sz val="9"/>
            <color indexed="81"/>
            <rFont val="ＭＳ Ｐゴシック"/>
            <family val="3"/>
            <charset val="128"/>
          </rPr>
          <t>小数値(「0.9」など)で
比率を入力して下さい。</t>
        </r>
      </text>
    </comment>
    <comment ref="F69" author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M126" author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E3" author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日建設計</author>
  </authors>
  <commentList>
    <comment ref="H123" authorId="0">
      <text>
        <r>
          <rPr>
            <b/>
            <sz val="10"/>
            <color indexed="81"/>
            <rFont val="ＭＳ Ｐゴシック"/>
            <family val="3"/>
            <charset val="128"/>
          </rPr>
          <t>500㎡未満の建物は直接入力により、レベル３を選択してください。</t>
        </r>
      </text>
    </comment>
    <comment ref="H176" authorId="0">
      <text>
        <r>
          <rPr>
            <b/>
            <sz val="10"/>
            <color indexed="81"/>
            <rFont val="ＭＳ Ｐゴシック"/>
            <family val="3"/>
            <charset val="128"/>
          </rPr>
          <t>レベル３は、直接入力より選択。
500㎡未満の建物は直接入力により、レベル３を選択してください。</t>
        </r>
      </text>
    </comment>
  </commentList>
</comments>
</file>

<file path=xl/comments5.xml><?xml version="1.0" encoding="utf-8"?>
<comments xmlns="http://schemas.openxmlformats.org/spreadsheetml/2006/main">
  <authors>
    <author>-</author>
  </authors>
  <commentList>
    <comment ref="F16" authorId="0">
      <text>
        <r>
          <rPr>
            <b/>
            <sz val="9"/>
            <color indexed="81"/>
            <rFont val="ＭＳ Ｐゴシック"/>
            <family val="3"/>
            <charset val="128"/>
          </rPr>
          <t>住宅部分と非住宅部分の床面積による加重平均（小数第2位で切捨）</t>
        </r>
      </text>
    </comment>
    <comment ref="F65" authorId="0">
      <text>
        <r>
          <rPr>
            <b/>
            <sz val="9"/>
            <color indexed="81"/>
            <rFont val="ＭＳ Ｐゴシック"/>
            <family val="3"/>
            <charset val="128"/>
          </rPr>
          <t>住宅部分と非住宅部分の床面積による加重平均（小数第2位で切捨）</t>
        </r>
      </text>
    </comment>
    <comment ref="F74" authorId="0">
      <text>
        <r>
          <rPr>
            <b/>
            <sz val="9"/>
            <color indexed="81"/>
            <rFont val="ＭＳ Ｐゴシック"/>
            <family val="3"/>
            <charset val="128"/>
          </rPr>
          <t>専有部分と共用部分の床面積による加重平均（小数第２位で切捨）</t>
        </r>
      </text>
    </comment>
  </commentList>
</comments>
</file>

<file path=xl/comments6.xml><?xml version="1.0" encoding="utf-8"?>
<comments xmlns="http://schemas.openxmlformats.org/spreadsheetml/2006/main">
  <authors>
    <author>-</author>
  </authors>
  <commentList>
    <comment ref="H57" authorId="0">
      <text>
        <r>
          <rPr>
            <b/>
            <sz val="9"/>
            <color indexed="81"/>
            <rFont val="ＭＳ Ｐゴシック"/>
            <family val="3"/>
            <charset val="128"/>
          </rPr>
          <t>合計が１になるよう、住戸の大きさ各区分の面積比率を入力します。</t>
        </r>
      </text>
    </comment>
  </commentList>
</comments>
</file>

<file path=xl/comments7.xml><?xml version="1.0" encoding="utf-8"?>
<comments xmlns="http://schemas.openxmlformats.org/spreadsheetml/2006/main">
  <authors>
    <author xml:space="preserve"> </author>
  </authors>
  <commentList>
    <comment ref="D48" authorId="0">
      <text>
        <r>
          <rPr>
            <sz val="9"/>
            <color indexed="81"/>
            <rFont val="ＭＳ Ｐゴシック"/>
            <family val="3"/>
            <charset val="128"/>
          </rPr>
          <t>下表＜参考＞　[1]の数値を利用できる。</t>
        </r>
      </text>
    </comment>
    <comment ref="D56" author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<sst xmlns="http://schemas.openxmlformats.org/spreadsheetml/2006/main" count="6809" uniqueCount="3445">
  <si>
    <t>内装計画</t>
    <rPh sb="0" eb="2">
      <t>ナイソウ</t>
    </rPh>
    <rPh sb="2" eb="4">
      <t>ケイカク</t>
    </rPh>
    <phoneticPr fontId="21"/>
  </si>
  <si>
    <t>維持管理</t>
    <rPh sb="0" eb="2">
      <t>イジ</t>
    </rPh>
    <rPh sb="2" eb="4">
      <t>カンリ</t>
    </rPh>
    <phoneticPr fontId="21"/>
  </si>
  <si>
    <t>維持管理に配慮した設計</t>
  </si>
  <si>
    <t>維持管理用機能の確保</t>
  </si>
  <si>
    <t>衛生管理業務</t>
    <rPh sb="0" eb="2">
      <t>エイセイ</t>
    </rPh>
    <rPh sb="2" eb="4">
      <t>カンリ</t>
    </rPh>
    <rPh sb="4" eb="6">
      <t>ギョウム</t>
    </rPh>
    <phoneticPr fontId="21"/>
  </si>
  <si>
    <t>耐用性・信頼性</t>
    <rPh sb="0" eb="3">
      <t>ﾀｲﾖｳｾｲ</t>
    </rPh>
    <rPh sb="4" eb="6">
      <t>ｼﾝﾗｲ</t>
    </rPh>
    <rPh sb="6" eb="7">
      <t>ｾｲ</t>
    </rPh>
    <phoneticPr fontId="34"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</si>
  <si>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1"/>
  </si>
  <si>
    <t>リサイクル資材を用いていない。</t>
    <rPh sb="8" eb="9">
      <t>モチ</t>
    </rPh>
    <phoneticPr fontId="21"/>
  </si>
  <si>
    <t>レベル３以上は、スコアシートに採用したリサイクル資材名を記述</t>
    <rPh sb="4" eb="6">
      <t>イジョウ</t>
    </rPh>
    <rPh sb="15" eb="17">
      <t>サイヨウ</t>
    </rPh>
    <rPh sb="24" eb="26">
      <t>シザイ</t>
    </rPh>
    <rPh sb="26" eb="27">
      <t>メイ</t>
    </rPh>
    <rPh sb="28" eb="30">
      <t>キジュツ</t>
    </rPh>
    <phoneticPr fontId="21"/>
  </si>
  <si>
    <t>リサイクル資材を１品目用いている。</t>
    <rPh sb="9" eb="11">
      <t>ヒンモク</t>
    </rPh>
    <rPh sb="11" eb="12">
      <t>モチ</t>
    </rPh>
    <phoneticPr fontId="21"/>
  </si>
  <si>
    <t>リサイクル資材を２品目用いている。</t>
    <rPh sb="9" eb="11">
      <t>ヒンモク</t>
    </rPh>
    <rPh sb="11" eb="12">
      <t>モチ</t>
    </rPh>
    <phoneticPr fontId="21"/>
  </si>
  <si>
    <t>リサイクル資材を３品目以上用いている。</t>
    <rPh sb="9" eb="11">
      <t>ヒンモク</t>
    </rPh>
    <rPh sb="11" eb="13">
      <t>イジョウ</t>
    </rPh>
    <rPh sb="13" eb="14">
      <t>モチ</t>
    </rPh>
    <phoneticPr fontId="21"/>
  </si>
  <si>
    <t>グリーン調達品目</t>
    <rPh sb="4" eb="6">
      <t>チョウタツ</t>
    </rPh>
    <rPh sb="6" eb="8">
      <t>ヒンモク</t>
    </rPh>
    <phoneticPr fontId="21"/>
  </si>
  <si>
    <t>建設汚泥再生処理土</t>
    <rPh sb="0" eb="2">
      <t>ケンセツ</t>
    </rPh>
    <rPh sb="2" eb="4">
      <t>オデイ</t>
    </rPh>
    <rPh sb="4" eb="6">
      <t>サイセイ</t>
    </rPh>
    <rPh sb="6" eb="8">
      <t>ショリ</t>
    </rPh>
    <rPh sb="8" eb="9">
      <t>ツチ</t>
    </rPh>
    <phoneticPr fontId="21"/>
  </si>
  <si>
    <t>土工用高炉水砕フラグ</t>
    <rPh sb="0" eb="2">
      <t>ドコウ</t>
    </rPh>
    <rPh sb="2" eb="3">
      <t>ヨウ</t>
    </rPh>
    <rPh sb="3" eb="5">
      <t>コウロ</t>
    </rPh>
    <rPh sb="5" eb="6">
      <t>ミズ</t>
    </rPh>
    <rPh sb="6" eb="7">
      <t>クダ</t>
    </rPh>
    <phoneticPr fontId="21"/>
  </si>
  <si>
    <t>銅スラグを用いたケーソン中詰め材</t>
    <rPh sb="0" eb="1">
      <t>ドウ</t>
    </rPh>
    <rPh sb="5" eb="6">
      <t>モチ</t>
    </rPh>
    <rPh sb="12" eb="13">
      <t>ナカ</t>
    </rPh>
    <rPh sb="13" eb="14">
      <t>ヅ</t>
    </rPh>
    <rPh sb="15" eb="16">
      <t>ザイ</t>
    </rPh>
    <phoneticPr fontId="21"/>
  </si>
  <si>
    <t>[照度]＜300lx、または1000lx≦[照度]</t>
  </si>
  <si>
    <t>自動制御ブラインド等によりグレアを制御。</t>
    <rPh sb="9" eb="10">
      <t>トウ</t>
    </rPh>
    <phoneticPr fontId="21"/>
  </si>
  <si>
    <t>確実な対策を行うために、レベル４を超える特別な配慮を行っている。かつ、それらの設備のメンテナンスが容易な計画となっている。</t>
    <phoneticPr fontId="21"/>
  </si>
  <si>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</si>
  <si>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</si>
  <si>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</si>
  <si>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</si>
  <si>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</si>
  <si>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1"/>
  </si>
  <si>
    <t>事・学(大学)・工</t>
    <rPh sb="0" eb="1">
      <t>コト</t>
    </rPh>
    <rPh sb="2" eb="3">
      <t>ガク</t>
    </rPh>
    <rPh sb="4" eb="6">
      <t>ダイガク</t>
    </rPh>
    <rPh sb="8" eb="9">
      <t>コウ</t>
    </rPh>
    <phoneticPr fontId="21"/>
  </si>
  <si>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</si>
  <si>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</si>
  <si>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</si>
  <si>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1"/>
  </si>
  <si>
    <t>③　内装設計：床面は適度な水を使用して洗浄可能な設計・構造を採用している。</t>
    <phoneticPr fontId="21"/>
  </si>
  <si>
    <t>②　清掃用資材の洗い場を設置し、安全な排水設備への排水経路を確保している。
※病院建築物においては上記に加え、病床数に応じた清掃資材用の洗濯機を設置するスペースを確保している。</t>
    <phoneticPr fontId="21"/>
  </si>
  <si>
    <t>事・学(大学等)・物・飲・会・病・ホ・工・住</t>
    <rPh sb="4" eb="6">
      <t>ダイガク</t>
    </rPh>
    <rPh sb="6" eb="7">
      <t>トウ</t>
    </rPh>
    <phoneticPr fontId="21"/>
  </si>
  <si>
    <t>（該当するレベルなし）</t>
    <phoneticPr fontId="21"/>
  </si>
  <si>
    <t>建築基準法に定められた耐震性を有する。</t>
    <phoneticPr fontId="21"/>
  </si>
  <si>
    <t>建築基準法に定められた25％増の耐震性を有する。</t>
    <phoneticPr fontId="21"/>
  </si>
  <si>
    <t>⑦災害などの停電時に飲料用等に使えるよう受水槽に水道の蛇口を設置している。</t>
    <phoneticPr fontId="21"/>
  </si>
  <si>
    <t>評価する取組みが3つ。</t>
    <phoneticPr fontId="21"/>
  </si>
  <si>
    <t>評価する取組みが4つ以上。</t>
    <phoneticPr fontId="21"/>
  </si>
  <si>
    <t>評価する取組みが3つ以上。</t>
    <phoneticPr fontId="21"/>
  </si>
  <si>
    <t>取組数</t>
    <rPh sb="0" eb="2">
      <t>トリクミ</t>
    </rPh>
    <rPh sb="2" eb="3">
      <t>スウ</t>
    </rPh>
    <phoneticPr fontId="21"/>
  </si>
  <si>
    <t>①非常用発電設備を備えている。</t>
    <phoneticPr fontId="21"/>
  </si>
  <si>
    <t>事・学・物・飲・会・病・ホ・工・住</t>
    <phoneticPr fontId="21"/>
  </si>
  <si>
    <t>事・学・物・飲・会・病・ホ・工・住【&lt;2000㎡】</t>
    <phoneticPr fontId="21"/>
  </si>
  <si>
    <t>評価する取組みが1つまたは2つ。</t>
    <phoneticPr fontId="21"/>
  </si>
  <si>
    <t>③重要設備系の受電設備の二重化を行っている。</t>
    <phoneticPr fontId="21"/>
  </si>
  <si>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1"/>
  </si>
  <si>
    <t>⑤電源車接続時に利用可能な用の照明等の配線が設置されている。</t>
    <phoneticPr fontId="21"/>
  </si>
  <si>
    <t>⑥異なる変電所からの引き込みを二重化している。</t>
    <phoneticPr fontId="21"/>
  </si>
  <si>
    <t>事・学・物・飲・会・病・ホ・工・住</t>
    <rPh sb="0" eb="1">
      <t>ジ</t>
    </rPh>
    <rPh sb="2" eb="3">
      <t>ガク</t>
    </rPh>
    <rPh sb="4" eb="5">
      <t>モノ</t>
    </rPh>
    <rPh sb="6" eb="7">
      <t>オン</t>
    </rPh>
    <rPh sb="8" eb="9">
      <t>カイ</t>
    </rPh>
    <rPh sb="10" eb="11">
      <t>ヤマイ</t>
    </rPh>
    <rPh sb="14" eb="15">
      <t>コウ</t>
    </rPh>
    <rPh sb="16" eb="17">
      <t>スミ</t>
    </rPh>
    <phoneticPr fontId="21"/>
  </si>
  <si>
    <t>事・学・物・飲・会・病・ホ・工・住【&lt;2000㎡】</t>
    <rPh sb="0" eb="1">
      <t>ジ</t>
    </rPh>
    <rPh sb="2" eb="3">
      <t>ガク</t>
    </rPh>
    <rPh sb="4" eb="5">
      <t>モノ</t>
    </rPh>
    <rPh sb="6" eb="7">
      <t>オン</t>
    </rPh>
    <rPh sb="8" eb="9">
      <t>カイ</t>
    </rPh>
    <rPh sb="10" eb="11">
      <t>ヤマイ</t>
    </rPh>
    <rPh sb="14" eb="15">
      <t>コウ</t>
    </rPh>
    <rPh sb="16" eb="17">
      <t>スミ</t>
    </rPh>
    <phoneticPr fontId="21"/>
  </si>
  <si>
    <t>評価する取組みがない。</t>
    <phoneticPr fontId="21"/>
  </si>
  <si>
    <t>評価する取組みが1つ。</t>
    <phoneticPr fontId="21"/>
  </si>
  <si>
    <t>評価する取組みが2つ以上。</t>
    <phoneticPr fontId="21"/>
  </si>
  <si>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</si>
  <si>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1"/>
  </si>
  <si>
    <t>評価する取組みが4つ以上。</t>
    <rPh sb="10" eb="12">
      <t>イジョウ</t>
    </rPh>
    <phoneticPr fontId="21"/>
  </si>
  <si>
    <t>④災害時の有線電話、FAX、地域防災無線が設置されている。</t>
    <phoneticPr fontId="21"/>
  </si>
  <si>
    <t>⑤災害時にケーブルTV などにより災害情報が入手できる。</t>
    <phoneticPr fontId="21"/>
  </si>
  <si>
    <t>⑥ネットワーク機器用に無停電装置が設備されている。</t>
    <phoneticPr fontId="21"/>
  </si>
  <si>
    <t>主要設備機器の更新に対応したルート又はマシンハッチが確保されておらず、更新・修繕時に建物機能を維持できない状況。</t>
    <phoneticPr fontId="21"/>
  </si>
  <si>
    <t>主要設備機器の更新に対応したルート又はマシンハッチが確保されているが、更新・修繕時に建物機能を維持できない状況。</t>
    <phoneticPr fontId="21"/>
  </si>
  <si>
    <t>主要設備機器の更新に対応したルート又はマシンハッチが確保され、かつ更新・修繕時に建物機能を維持できる状況。</t>
    <phoneticPr fontId="21"/>
  </si>
  <si>
    <t>主要設備機器の更新に対応した仮設スペースが確保でき、かつ更新・修繕時に建物機能を維持できる状況。</t>
    <phoneticPr fontId="21"/>
  </si>
  <si>
    <t>既存の建築躯体を再利用していない。</t>
    <phoneticPr fontId="21"/>
  </si>
  <si>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1"/>
  </si>
  <si>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1"/>
  </si>
  <si>
    <t>躯体材料以外におけるリサイクル材の使用</t>
    <rPh sb="0" eb="2">
      <t>クタイ</t>
    </rPh>
    <rPh sb="2" eb="4">
      <t>ザイリョウ</t>
    </rPh>
    <rPh sb="4" eb="6">
      <t>イガイ</t>
    </rPh>
    <rPh sb="15" eb="16">
      <t>ザイ</t>
    </rPh>
    <rPh sb="17" eb="19">
      <t>シヨウ</t>
    </rPh>
    <phoneticPr fontId="21"/>
  </si>
  <si>
    <t>再利用できるユニット部材を用いている。</t>
    <phoneticPr fontId="21"/>
  </si>
  <si>
    <t>構造部材あるいはそのユニットが容易に分解でき、再利用できる。</t>
    <phoneticPr fontId="21"/>
  </si>
  <si>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1"/>
  </si>
  <si>
    <t>ODP＝0.01未満かつ、GWPが低い発泡剤（GWP（100年値）が50未満）を用いた断熱材等を使用している。</t>
    <phoneticPr fontId="21"/>
  </si>
  <si>
    <t>１地域</t>
    <rPh sb="1" eb="3">
      <t>チイキ</t>
    </rPh>
    <phoneticPr fontId="21"/>
  </si>
  <si>
    <t>２地域</t>
    <rPh sb="1" eb="3">
      <t>チイキ</t>
    </rPh>
    <phoneticPr fontId="21"/>
  </si>
  <si>
    <t>３地域</t>
    <rPh sb="1" eb="3">
      <t>チイキ</t>
    </rPh>
    <phoneticPr fontId="21"/>
  </si>
  <si>
    <t>４地域</t>
    <rPh sb="1" eb="3">
      <t>チイキ</t>
    </rPh>
    <phoneticPr fontId="21"/>
  </si>
  <si>
    <t>５地域</t>
    <rPh sb="1" eb="3">
      <t>チイキ</t>
    </rPh>
    <phoneticPr fontId="21"/>
  </si>
  <si>
    <t>６地域</t>
    <rPh sb="1" eb="3">
      <t>チイキ</t>
    </rPh>
    <phoneticPr fontId="21"/>
  </si>
  <si>
    <t>７地域</t>
    <rPh sb="1" eb="3">
      <t>チイキ</t>
    </rPh>
    <phoneticPr fontId="21"/>
  </si>
  <si>
    <t>８地域</t>
    <rPh sb="1" eb="3">
      <t>チイキ</t>
    </rPh>
    <phoneticPr fontId="21"/>
  </si>
  <si>
    <t>９地域</t>
    <rPh sb="1" eb="3">
      <t>チイキ</t>
    </rPh>
    <phoneticPr fontId="21"/>
  </si>
  <si>
    <t>自然エネルギー直接利用量</t>
    <rPh sb="0" eb="2">
      <t>シゼン</t>
    </rPh>
    <rPh sb="7" eb="9">
      <t>チョクセツ</t>
    </rPh>
    <rPh sb="9" eb="11">
      <t>リヨウ</t>
    </rPh>
    <rPh sb="11" eb="12">
      <t>リョウ</t>
    </rPh>
    <phoneticPr fontId="21"/>
  </si>
  <si>
    <t>MＪ／年㎡　（変換利用量は含まない）</t>
    <rPh sb="7" eb="9">
      <t>ヘンカン</t>
    </rPh>
    <rPh sb="9" eb="11">
      <t>リヨウ</t>
    </rPh>
    <rPh sb="11" eb="12">
      <t>リョウ</t>
    </rPh>
    <rPh sb="13" eb="14">
      <t>フク</t>
    </rPh>
    <phoneticPr fontId="21"/>
  </si>
  <si>
    <t>屋上（屋根）・外壁仕上げ材の更新</t>
    <rPh sb="0" eb="2">
      <t>オクジョウ</t>
    </rPh>
    <rPh sb="3" eb="5">
      <t>ヤネ</t>
    </rPh>
    <rPh sb="7" eb="9">
      <t>ガイヘキ</t>
    </rPh>
    <rPh sb="9" eb="11">
      <t>シア</t>
    </rPh>
    <rPh sb="12" eb="13">
      <t>ザイ</t>
    </rPh>
    <rPh sb="14" eb="16">
      <t>コウシン</t>
    </rPh>
    <phoneticPr fontId="21"/>
  </si>
  <si>
    <t>配管・配線材の更新</t>
    <rPh sb="0" eb="2">
      <t>ハイカン</t>
    </rPh>
    <rPh sb="3" eb="5">
      <t>ハイセン</t>
    </rPh>
    <rPh sb="5" eb="6">
      <t>ザイ</t>
    </rPh>
    <rPh sb="7" eb="9">
      <t>コウシン</t>
    </rPh>
    <phoneticPr fontId="21"/>
  </si>
  <si>
    <t>主用設備機器の更新</t>
    <rPh sb="0" eb="2">
      <t>シュヨウ</t>
    </rPh>
    <rPh sb="2" eb="4">
      <t>セツビ</t>
    </rPh>
    <rPh sb="4" eb="6">
      <t>キキ</t>
    </rPh>
    <rPh sb="7" eb="9">
      <t>コウシン</t>
    </rPh>
    <phoneticPr fontId="21"/>
  </si>
  <si>
    <t>信頼性</t>
    <rPh sb="0" eb="3">
      <t>シンライセイ</t>
    </rPh>
    <phoneticPr fontId="21"/>
  </si>
  <si>
    <t>空調・換気設備</t>
    <rPh sb="0" eb="2">
      <t>クウチョウ</t>
    </rPh>
    <rPh sb="3" eb="5">
      <t>カンキ</t>
    </rPh>
    <rPh sb="5" eb="7">
      <t>セツビ</t>
    </rPh>
    <phoneticPr fontId="21"/>
  </si>
  <si>
    <t>給排水・衛生設備</t>
    <rPh sb="0" eb="3">
      <t>キュウハイスイ</t>
    </rPh>
    <rPh sb="4" eb="6">
      <t>エイセイ</t>
    </rPh>
    <rPh sb="6" eb="8">
      <t>セツビ</t>
    </rPh>
    <phoneticPr fontId="21"/>
  </si>
  <si>
    <t>電気設備</t>
    <rPh sb="0" eb="2">
      <t>デンキ</t>
    </rPh>
    <rPh sb="2" eb="4">
      <t>セツビ</t>
    </rPh>
    <phoneticPr fontId="21"/>
  </si>
  <si>
    <t>地域性・文化</t>
    <rPh sb="0" eb="3">
      <t>チイキセイ</t>
    </rPh>
    <rPh sb="4" eb="6">
      <t>ブンカ</t>
    </rPh>
    <phoneticPr fontId="21"/>
  </si>
  <si>
    <t>空気質環境</t>
    <rPh sb="3" eb="5">
      <t>カンキョウ</t>
    </rPh>
    <phoneticPr fontId="21"/>
  </si>
  <si>
    <t>LR-2 資源ﾏﾃﾘｱﾙ</t>
    <rPh sb="5" eb="7">
      <t>シゲン</t>
    </rPh>
    <phoneticPr fontId="21"/>
  </si>
  <si>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1"/>
  </si>
  <si>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1"/>
  </si>
  <si>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1"/>
  </si>
  <si>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1"/>
  </si>
  <si>
    <t>振動規制法に定める現行の規制基準*1より大幅*2に抑えられている</t>
    <phoneticPr fontId="21"/>
  </si>
  <si>
    <t>事・学・物・飲・会・病・ホ・工・住</t>
    <phoneticPr fontId="21"/>
  </si>
  <si>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</si>
  <si>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</si>
  <si>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1"/>
  </si>
  <si>
    <t>エコセメント</t>
    <phoneticPr fontId="21"/>
  </si>
  <si>
    <t>高炉セメント</t>
    <rPh sb="0" eb="2">
      <t>コウロ</t>
    </rPh>
    <phoneticPr fontId="21"/>
  </si>
  <si>
    <t>・グリーン購入法特定調達物品情報提供システム　（http://www.env.go.jp/policy/hozen/green/g-law/gpl-db/index.html）</t>
    <phoneticPr fontId="21"/>
  </si>
  <si>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1"/>
  </si>
  <si>
    <t>陶磁器質タイル</t>
    <rPh sb="0" eb="3">
      <t>トウジキ</t>
    </rPh>
    <rPh sb="3" eb="4">
      <t>シツ</t>
    </rPh>
    <phoneticPr fontId="21"/>
  </si>
  <si>
    <t>再生加熱アスファルト混合物</t>
    <rPh sb="0" eb="2">
      <t>サイセイ</t>
    </rPh>
    <rPh sb="2" eb="4">
      <t>カネツ</t>
    </rPh>
    <rPh sb="10" eb="12">
      <t>コンゴウ</t>
    </rPh>
    <rPh sb="12" eb="13">
      <t>ブツ</t>
    </rPh>
    <phoneticPr fontId="21"/>
  </si>
  <si>
    <t>合板</t>
  </si>
  <si>
    <t>鉄鋼スラグ混入アスファルト混合物</t>
    <rPh sb="0" eb="2">
      <t>テッコウ</t>
    </rPh>
    <rPh sb="5" eb="7">
      <t>コンニュウ</t>
    </rPh>
    <rPh sb="13" eb="15">
      <t>コンゴウ</t>
    </rPh>
    <rPh sb="15" eb="16">
      <t>ブツ</t>
    </rPh>
    <phoneticPr fontId="21"/>
  </si>
  <si>
    <t>単板積層材</t>
  </si>
  <si>
    <t>フローリング</t>
  </si>
  <si>
    <t>パーティクルボード</t>
    <phoneticPr fontId="21"/>
  </si>
  <si>
    <t>鉄鋼ズラグブロック</t>
    <phoneticPr fontId="21"/>
  </si>
  <si>
    <t>フライアッシュを用いた吹付けコンクリート</t>
    <rPh sb="8" eb="9">
      <t>モチ</t>
    </rPh>
    <rPh sb="11" eb="13">
      <t>フキツ</t>
    </rPh>
    <phoneticPr fontId="21"/>
  </si>
  <si>
    <t>ビニル系床材</t>
    <phoneticPr fontId="21"/>
  </si>
  <si>
    <t>エコマークを取得したタイル・ブロック（エコマーク商品類型109）</t>
    <phoneticPr fontId="21"/>
  </si>
  <si>
    <t>ボード</t>
    <phoneticPr fontId="21"/>
  </si>
  <si>
    <t>屋内用品（壁材などの内装材））</t>
    <phoneticPr fontId="21"/>
  </si>
  <si>
    <t>壁紙</t>
    <phoneticPr fontId="21"/>
  </si>
  <si>
    <t>フリーアクセスフロア</t>
    <phoneticPr fontId="21"/>
  </si>
  <si>
    <t>・グリーン購入法特定調達物品情報提供システム　（http://www.env.go.jp/policy/hozen/green/g-law/gpl-db/index.html）</t>
    <phoneticPr fontId="21"/>
  </si>
  <si>
    <t>冷媒ガスを使用していない場合は、評価対象外</t>
    <phoneticPr fontId="21"/>
  </si>
  <si>
    <t>消火設備が全く無い場合やスプリンクラーのみの場合、ガス消火設備がない場合は対象外とする
消火器は対象外とする</t>
    <phoneticPr fontId="21"/>
  </si>
  <si>
    <t>事・学・物・飲・会・病・ホ・住・工</t>
    <rPh sb="0" eb="1">
      <t>コト</t>
    </rPh>
    <rPh sb="2" eb="3">
      <t>ガク</t>
    </rPh>
    <rPh sb="4" eb="5">
      <t>モノ</t>
    </rPh>
    <rPh sb="6" eb="7">
      <t>ノ</t>
    </rPh>
    <rPh sb="8" eb="9">
      <t>カイ</t>
    </rPh>
    <rPh sb="10" eb="11">
      <t>ヤマイ</t>
    </rPh>
    <rPh sb="14" eb="15">
      <t>ジュウ</t>
    </rPh>
    <rPh sb="16" eb="17">
      <t>コウ</t>
    </rPh>
    <phoneticPr fontId="21"/>
  </si>
  <si>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</si>
  <si>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1"/>
  </si>
  <si>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1"/>
  </si>
  <si>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1"/>
  </si>
  <si>
    <r>
      <t xml:space="preserve">3.3.4 </t>
    </r>
    <r>
      <rPr>
        <b/>
        <sz val="10"/>
        <rFont val="ＭＳ Ｐゴシック"/>
        <family val="3"/>
        <charset val="128"/>
      </rPr>
      <t>通信配線の更新性</t>
    </r>
    <phoneticPr fontId="21"/>
  </si>
  <si>
    <t>構造部材を痛めることなく電気配線の更新・修繕ができる。</t>
    <phoneticPr fontId="21"/>
  </si>
  <si>
    <t>構造部材を痛めることなく通信配線の更新・修繕ができる。</t>
    <phoneticPr fontId="21"/>
  </si>
  <si>
    <t xml:space="preserve"> </t>
    <phoneticPr fontId="21"/>
  </si>
  <si>
    <t>加湿・除湿機能を有し、45％～55％の快適範囲を設定し、なおかつ、熱橋となる部分の断熱補強、防湿層、通気層の設置等の結露防止対策がとられている。</t>
    <phoneticPr fontId="21"/>
  </si>
  <si>
    <t>⑨　バルブ等の日常的に調整が必要な機器は、操作が容易な位置に設定されている。</t>
    <phoneticPr fontId="21"/>
  </si>
  <si>
    <t>⑪　天井隠蔽機器の点検口は600mm×600mm以上としている。</t>
    <phoneticPr fontId="21"/>
  </si>
  <si>
    <t>非住宅部分</t>
    <rPh sb="0" eb="1">
      <t>ヒ</t>
    </rPh>
    <rPh sb="1" eb="3">
      <t>ジュウタク</t>
    </rPh>
    <rPh sb="3" eb="5">
      <t>ブブン</t>
    </rPh>
    <phoneticPr fontId="21"/>
  </si>
  <si>
    <t>効率的な運用低減率</t>
    <rPh sb="0" eb="2">
      <t>コウリツ</t>
    </rPh>
    <rPh sb="2" eb="3">
      <t>テキ</t>
    </rPh>
    <rPh sb="4" eb="6">
      <t>ウンヨウ</t>
    </rPh>
    <rPh sb="6" eb="8">
      <t>テイゲン</t>
    </rPh>
    <rPh sb="8" eb="9">
      <t>リツ</t>
    </rPh>
    <phoneticPr fontId="21"/>
  </si>
  <si>
    <t>(GJ/年）</t>
    <rPh sb="4" eb="5">
      <t>ネン</t>
    </rPh>
    <phoneticPr fontId="21"/>
  </si>
  <si>
    <t>削減分</t>
    <rPh sb="0" eb="2">
      <t>サクゲン</t>
    </rPh>
    <rPh sb="2" eb="3">
      <t>ブン</t>
    </rPh>
    <phoneticPr fontId="21"/>
  </si>
  <si>
    <t>専有部（全戸合計）</t>
    <rPh sb="0" eb="2">
      <t>センユウ</t>
    </rPh>
    <rPh sb="2" eb="3">
      <t>ブ</t>
    </rPh>
    <rPh sb="4" eb="6">
      <t>ゼンコ</t>
    </rPh>
    <rPh sb="6" eb="8">
      <t>ゴウケイ</t>
    </rPh>
    <phoneticPr fontId="21"/>
  </si>
  <si>
    <t>うち、その他エネルギー消費量（家電・調理分）</t>
    <rPh sb="5" eb="6">
      <t>ホカ</t>
    </rPh>
    <rPh sb="11" eb="14">
      <t>ショウヒリョウ</t>
    </rPh>
    <rPh sb="15" eb="17">
      <t>カデン</t>
    </rPh>
    <rPh sb="18" eb="20">
      <t>チョウリ</t>
    </rPh>
    <rPh sb="20" eb="21">
      <t>ブン</t>
    </rPh>
    <phoneticPr fontId="21"/>
  </si>
  <si>
    <t>　　③オンサイトの取組で評価するエネルギー消費削減量（太陽光発電分等）を足し戻した一次エネルギー量</t>
    <rPh sb="36" eb="37">
      <t>タ</t>
    </rPh>
    <rPh sb="38" eb="39">
      <t>モド</t>
    </rPh>
    <rPh sb="41" eb="43">
      <t>イチジ</t>
    </rPh>
    <rPh sb="48" eb="49">
      <t>リョウ</t>
    </rPh>
    <phoneticPr fontId="21"/>
  </si>
  <si>
    <t>歴史的建造物の外装、既存の自然環境等を保存、復元、再生することにより、景観的に地域の歴史性を継承している。</t>
    <phoneticPr fontId="21"/>
  </si>
  <si>
    <t>地域性のある素材を外装材に使用して、良好な景観を形成している。</t>
    <phoneticPr fontId="21"/>
  </si>
  <si>
    <t xml:space="preserve">周辺にある公園や広場等の人が集まる場所や遠くから対象建物を含む一帯を眺める地点（視点場）からの良好な景観を形成している。   </t>
    <phoneticPr fontId="21"/>
  </si>
  <si>
    <t>その他（記述）</t>
    <phoneticPr fontId="21"/>
  </si>
  <si>
    <t>合計＝</t>
    <phoneticPr fontId="21"/>
  </si>
  <si>
    <t>注）景観利益とは、良好な景観の恵沢を享受する利益を意味する。景観利益を侵害しているという判断は、景観に関する紛争が生じている場合などに限定されると思われる。</t>
    <phoneticPr fontId="21"/>
  </si>
  <si>
    <t>→</t>
    <phoneticPr fontId="21"/>
  </si>
  <si>
    <t>I 地域固有の風土、歴史、文化の
継承</t>
    <phoneticPr fontId="21"/>
  </si>
  <si>
    <t>1）歴史的な建築空間等の保全
歴史的な建築内外部空間や遺構を保存、復元、再生し、地域文化に貢献している。（まちなみ・景観で評価している部分はここで重複して評価しない）</t>
    <phoneticPr fontId="21"/>
  </si>
  <si>
    <t>II 空間・施設機能の提供による地域
貢献</t>
    <phoneticPr fontId="21"/>
  </si>
  <si>
    <t>評価する取組み表の評価ポイントの合計値が4ポイント</t>
    <phoneticPr fontId="21"/>
  </si>
  <si>
    <t>1～2</t>
    <phoneticPr fontId="21"/>
  </si>
  <si>
    <t>広告物照明について「広告物照明の扱い」の配慮事項の一部を満たしている。（1ポイント）</t>
    <phoneticPr fontId="21"/>
  </si>
  <si>
    <t>「広告物照明の扱い」の配慮事項の過半を満たしている場合、または広告物照明を行っていない（2ポイント）</t>
    <phoneticPr fontId="21"/>
  </si>
  <si>
    <r>
      <t>3.3.2</t>
    </r>
    <r>
      <rPr>
        <b/>
        <sz val="10"/>
        <rFont val="ＭＳ Ｐゴシック"/>
        <family val="3"/>
        <charset val="128"/>
      </rPr>
      <t>　昼光の建物外壁による反射光（グレア）への対策</t>
    </r>
    <phoneticPr fontId="21"/>
  </si>
  <si>
    <t>消火剤</t>
    <rPh sb="0" eb="3">
      <t>ショウカザイ</t>
    </rPh>
    <phoneticPr fontId="21"/>
  </si>
  <si>
    <t>発泡剤（断熱材等）</t>
    <rPh sb="0" eb="2">
      <t>ハッポウ</t>
    </rPh>
    <rPh sb="2" eb="3">
      <t>ザイ</t>
    </rPh>
    <rPh sb="4" eb="7">
      <t>ダンネツザイ</t>
    </rPh>
    <rPh sb="7" eb="8">
      <t>トウ</t>
    </rPh>
    <phoneticPr fontId="21"/>
  </si>
  <si>
    <t>冷媒</t>
    <rPh sb="0" eb="2">
      <t>レイバイ</t>
    </rPh>
    <phoneticPr fontId="21"/>
  </si>
  <si>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</si>
  <si>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</si>
  <si>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</si>
  <si>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</si>
  <si>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</si>
  <si>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</si>
  <si>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</si>
  <si>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</si>
  <si>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</si>
  <si>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</si>
  <si>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</si>
  <si>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</si>
  <si>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1"/>
  </si>
  <si>
    <t xml:space="preserve"> Q3 3</t>
  </si>
  <si>
    <t xml:space="preserve"> </t>
  </si>
  <si>
    <t>建築物の環境負荷低減性</t>
    <rPh sb="0" eb="3">
      <t>ケンチクブツ</t>
    </rPh>
    <rPh sb="4" eb="6">
      <t>カンキョウ</t>
    </rPh>
    <rPh sb="6" eb="8">
      <t>フカ</t>
    </rPh>
    <rPh sb="8" eb="10">
      <t>テイゲン</t>
    </rPh>
    <rPh sb="10" eb="11">
      <t>セイ</t>
    </rPh>
    <phoneticPr fontId="21"/>
  </si>
  <si>
    <t>LR</t>
  </si>
  <si>
    <t>LR1 2</t>
  </si>
  <si>
    <t>ERRによる評価</t>
    <rPh sb="6" eb="8">
      <t>ﾋｮｳｶ</t>
    </rPh>
    <phoneticPr fontId="34" type="noConversion"/>
  </si>
  <si>
    <t>ERR以外による評価</t>
    <rPh sb="3" eb="5">
      <t>イガイ</t>
    </rPh>
    <phoneticPr fontId="21"/>
  </si>
  <si>
    <t>LR1 4</t>
  </si>
  <si>
    <t>LR2 1</t>
  </si>
  <si>
    <t>雨水利用・雑排水再利用</t>
    <rPh sb="0" eb="2">
      <t>ｳｽｲ</t>
    </rPh>
    <rPh sb="2" eb="4">
      <t>ﾘﾖｳ</t>
    </rPh>
    <rPh sb="5" eb="8">
      <t>ｻﾞﾂﾊｲｽｲ</t>
    </rPh>
    <rPh sb="8" eb="9">
      <t>ｻｲ</t>
    </rPh>
    <rPh sb="9" eb="11">
      <t>ﾘﾖｳ</t>
    </rPh>
    <phoneticPr fontId="34"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</si>
  <si>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</si>
  <si>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</si>
  <si>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</si>
  <si>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</si>
  <si>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</si>
  <si>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1"/>
  </si>
  <si>
    <r>
      <t>kg-CO</t>
    </r>
    <r>
      <rPr>
        <vertAlign val="subscript"/>
        <sz val="10"/>
        <rFont val="ＭＳ Ｐゴシック"/>
        <family val="3"/>
        <charset val="128"/>
      </rPr>
      <t>2</t>
    </r>
    <r>
      <rPr>
        <sz val="10"/>
        <rFont val="ＭＳ Ｐゴシック"/>
        <family val="3"/>
        <charset val="128"/>
      </rPr>
      <t>/ｋWh</t>
    </r>
    <phoneticPr fontId="21"/>
  </si>
  <si>
    <t>ガス</t>
    <phoneticPr fontId="21"/>
  </si>
  <si>
    <r>
      <t>kg-CO</t>
    </r>
    <r>
      <rPr>
        <vertAlign val="superscript"/>
        <sz val="10"/>
        <rFont val="ＭＳ Ｐゴシック"/>
        <family val="3"/>
        <charset val="128"/>
      </rPr>
      <t>2</t>
    </r>
    <r>
      <rPr>
        <sz val="10"/>
        <rFont val="ＭＳ Ｐゴシック"/>
        <family val="3"/>
        <charset val="128"/>
      </rPr>
      <t>/MJ</t>
    </r>
    <phoneticPr fontId="21"/>
  </si>
  <si>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1"/>
  </si>
  <si>
    <t>バウンダリー</t>
    <phoneticPr fontId="21"/>
  </si>
  <si>
    <t>○○　</t>
    <phoneticPr fontId="21"/>
  </si>
  <si>
    <t>〃</t>
    <phoneticPr fontId="21"/>
  </si>
  <si>
    <t>○○</t>
    <phoneticPr fontId="21"/>
  </si>
  <si>
    <t>○○</t>
    <phoneticPr fontId="21"/>
  </si>
  <si>
    <t>○○</t>
    <phoneticPr fontId="21"/>
  </si>
  <si>
    <t>○○</t>
    <phoneticPr fontId="21"/>
  </si>
  <si>
    <t>○○</t>
    <phoneticPr fontId="21"/>
  </si>
  <si>
    <t>修繕・更新・</t>
    <phoneticPr fontId="21"/>
  </si>
  <si>
    <t>③上記+②以外の
　オンサイト手法</t>
    <phoneticPr fontId="21"/>
  </si>
  <si>
    <t>－</t>
    <phoneticPr fontId="21"/>
  </si>
  <si>
    <t>外気冷房効果</t>
  </si>
  <si>
    <t>無音室</t>
    <rPh sb="0" eb="2">
      <t>ムオン</t>
    </rPh>
    <rPh sb="2" eb="3">
      <t>シツ</t>
    </rPh>
    <phoneticPr fontId="21"/>
  </si>
  <si>
    <t>主調整室</t>
    <rPh sb="0" eb="1">
      <t>シュ</t>
    </rPh>
    <rPh sb="1" eb="4">
      <t>チョウセイシツ</t>
    </rPh>
    <phoneticPr fontId="21"/>
  </si>
  <si>
    <t>一般事務室</t>
    <rPh sb="0" eb="2">
      <t>イッパン</t>
    </rPh>
    <rPh sb="2" eb="5">
      <t>ジムシツ</t>
    </rPh>
    <phoneticPr fontId="21"/>
  </si>
  <si>
    <t>集会・ホール</t>
    <rPh sb="0" eb="2">
      <t>シュウカイ</t>
    </rPh>
    <phoneticPr fontId="21"/>
  </si>
  <si>
    <t>音楽堂</t>
    <rPh sb="0" eb="3">
      <t>オンガクドウ</t>
    </rPh>
    <phoneticPr fontId="21"/>
  </si>
  <si>
    <t>劇場（中）</t>
    <rPh sb="0" eb="2">
      <t>ゲキジョウ</t>
    </rPh>
    <rPh sb="3" eb="4">
      <t>チュウ</t>
    </rPh>
    <phoneticPr fontId="21"/>
  </si>
  <si>
    <t>舞台劇場</t>
    <rPh sb="0" eb="2">
      <t>ブタイ</t>
    </rPh>
    <rPh sb="2" eb="4">
      <t>ゲキジョウ</t>
    </rPh>
    <phoneticPr fontId="21"/>
  </si>
  <si>
    <t>映画館・プラネタリウム</t>
    <rPh sb="0" eb="3">
      <t>エイガカン</t>
    </rPh>
    <phoneticPr fontId="21"/>
  </si>
  <si>
    <t>聴力試験室</t>
    <rPh sb="0" eb="2">
      <t>チョウリョク</t>
    </rPh>
    <rPh sb="2" eb="4">
      <t>シケン</t>
    </rPh>
    <rPh sb="4" eb="5">
      <t>シツ</t>
    </rPh>
    <phoneticPr fontId="21"/>
  </si>
  <si>
    <t>特別病室</t>
    <rPh sb="0" eb="2">
      <t>トクベツ</t>
    </rPh>
    <rPh sb="2" eb="4">
      <t>ビョウシツ</t>
    </rPh>
    <phoneticPr fontId="21"/>
  </si>
  <si>
    <t>排出係数の設定</t>
    <rPh sb="0" eb="2">
      <t>ハイシュツ</t>
    </rPh>
    <rPh sb="2" eb="4">
      <t>ケイスウ</t>
    </rPh>
    <rPh sb="5" eb="7">
      <t>セッテイ</t>
    </rPh>
    <phoneticPr fontId="21"/>
  </si>
  <si>
    <t>対策を行っている（評価する取組みにおいて2項目以上を採用）</t>
    <phoneticPr fontId="21"/>
  </si>
  <si>
    <t>取組みなし。</t>
    <phoneticPr fontId="21"/>
  </si>
  <si>
    <t>エネルギー消費に関する表示機器、負荷低減装置等を採用している。</t>
    <phoneticPr fontId="21"/>
  </si>
  <si>
    <t>エネルギーを管理する仕組みがあり、それにより消費エネルギーの削減が可能である取組みがなされている。</t>
    <phoneticPr fontId="21"/>
  </si>
  <si>
    <t>レベル３に加え、主要な用途別エネルギー消費の内訳※1) を把握して、消費特性の傾向把握・分析を行い、妥当性が確認できること。</t>
    <phoneticPr fontId="21"/>
  </si>
  <si>
    <t>(該当するレベルなし)</t>
    <rPh sb="1" eb="3">
      <t>ガイトウ</t>
    </rPh>
    <phoneticPr fontId="21"/>
  </si>
  <si>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</si>
  <si>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</si>
  <si>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1"/>
  </si>
  <si>
    <t>化学物質排出把握管理促進法の対象物質を含有しない建材種別が4つ以上ある。</t>
    <rPh sb="31" eb="33">
      <t>イジョウ</t>
    </rPh>
    <phoneticPr fontId="21"/>
  </si>
  <si>
    <t>評価対象とする建材種別</t>
    <rPh sb="0" eb="2">
      <t>ヒョウカ</t>
    </rPh>
    <rPh sb="2" eb="4">
      <t>タイショウ</t>
    </rPh>
    <rPh sb="9" eb="11">
      <t>シュベツ</t>
    </rPh>
    <phoneticPr fontId="21"/>
  </si>
  <si>
    <t>指定化学物質の含有</t>
    <rPh sb="0" eb="2">
      <t>シテイ</t>
    </rPh>
    <rPh sb="2" eb="4">
      <t>カガク</t>
    </rPh>
    <rPh sb="4" eb="6">
      <t>ブッシツ</t>
    </rPh>
    <phoneticPr fontId="21"/>
  </si>
  <si>
    <t>分類</t>
    <rPh sb="0" eb="2">
      <t>ブンルイ</t>
    </rPh>
    <phoneticPr fontId="21"/>
  </si>
  <si>
    <t>1)敷地内にある生物資源を構成する動植物、表土、水辺等を保存または復元している。</t>
    <phoneticPr fontId="21"/>
  </si>
  <si>
    <t>III 緑の量の確保</t>
    <phoneticPr fontId="21"/>
  </si>
  <si>
    <t>1)外構緑化指数が、10％以上20％未満を示す規模の外構緑化を行い、なおかつ中高木を植栽している。 (1ポイント)</t>
    <phoneticPr fontId="21"/>
  </si>
  <si>
    <t>　外構緑化指数が、20％以上50％未満を示す規模の外構緑化を行っている。(2ポイント)</t>
    <phoneticPr fontId="21"/>
  </si>
  <si>
    <t>複数ベッド単位で照明制御できる、または、照明制御盤・器具等で調整できる。</t>
    <rPh sb="8" eb="10">
      <t>ショウメイ</t>
    </rPh>
    <rPh sb="10" eb="12">
      <t>セイギョ</t>
    </rPh>
    <rPh sb="20" eb="22">
      <t>ショウメイ</t>
    </rPh>
    <rPh sb="22" eb="25">
      <t>セイギョバン</t>
    </rPh>
    <phoneticPr fontId="21"/>
  </si>
  <si>
    <t>代替値</t>
    <phoneticPr fontId="21"/>
  </si>
  <si>
    <t>根拠等</t>
    <rPh sb="0" eb="2">
      <t>コンキョ</t>
    </rPh>
    <rPh sb="2" eb="3">
      <t>トウ</t>
    </rPh>
    <phoneticPr fontId="21"/>
  </si>
  <si>
    <r>
      <t xml:space="preserve"> [</t>
    </r>
    <r>
      <rPr>
        <sz val="11"/>
        <rFont val="ＭＳ Ｐゴシック"/>
        <family val="3"/>
        <charset val="128"/>
      </rPr>
      <t>2</t>
    </r>
    <r>
      <rPr>
        <sz val="11"/>
        <rFont val="ＭＳ Ｐゴシック"/>
        <family val="3"/>
        <charset val="128"/>
      </rPr>
      <t>]代替値</t>
    </r>
    <rPh sb="4" eb="6">
      <t>ダイタイ</t>
    </rPh>
    <rPh sb="6" eb="7">
      <t>チ</t>
    </rPh>
    <phoneticPr fontId="21"/>
  </si>
  <si>
    <t>降順並び替え</t>
    <rPh sb="0" eb="2">
      <t>コウジュン</t>
    </rPh>
    <rPh sb="2" eb="3">
      <t>ナラ</t>
    </rPh>
    <rPh sb="4" eb="5">
      <t>カ</t>
    </rPh>
    <phoneticPr fontId="21"/>
  </si>
  <si>
    <t>レベル２を満たさない。</t>
    <phoneticPr fontId="21"/>
  </si>
  <si>
    <t>学（小中高）</t>
    <phoneticPr fontId="21"/>
  </si>
  <si>
    <t>レベル３を満たさない。</t>
    <phoneticPr fontId="21"/>
  </si>
  <si>
    <t>-</t>
    <phoneticPr fontId="21"/>
  </si>
  <si>
    <t>［ダニ又はダニアレルゲン］≦１００匹／㎡</t>
    <phoneticPr fontId="21"/>
  </si>
  <si>
    <t>内装は、床・壁の50％以上～65％未満の面積において、ダニ・カビの発生を抑制、あるいは清掃・メンテナンスに配慮したものとなっている。</t>
    <phoneticPr fontId="21"/>
  </si>
  <si>
    <t>内装は、床・壁の65％以上～80％未満の面積において、ダニ・カビの発生を抑制、あるいは清掃・メンテナンスに配慮したものとなっている。</t>
    <phoneticPr fontId="21"/>
  </si>
  <si>
    <t>内装は、床・壁の80％以上の面積において、ダニ・カビの発生を抑制、あるいは清掃・メンテナンスに配慮したものとなっている。</t>
    <phoneticPr fontId="21"/>
  </si>
  <si>
    <t>生物環境の保全と創出に関して配慮に欠け、取り組みが不十分である。(評価ポイント0～3)</t>
    <rPh sb="2" eb="4">
      <t>カンキョウ</t>
    </rPh>
    <phoneticPr fontId="21"/>
  </si>
  <si>
    <t>採点</t>
    <rPh sb="0" eb="2">
      <t>サイテン</t>
    </rPh>
    <phoneticPr fontId="21"/>
  </si>
  <si>
    <t>既存はなし</t>
    <rPh sb="0" eb="2">
      <t>キソン</t>
    </rPh>
    <phoneticPr fontId="21"/>
  </si>
  <si>
    <t>1)敷地とその周辺にある生物環境に関する立地特性を把握し、その特性に基づいて敷地内の生物環境の保全と創出に関わる計画方針を示している。</t>
    <rPh sb="14" eb="16">
      <t>カンキョウ</t>
    </rPh>
    <phoneticPr fontId="21"/>
  </si>
  <si>
    <t>1～3</t>
  </si>
  <si>
    <t>1～2</t>
  </si>
  <si>
    <t>1)上記の評価項目以外に生物環境の保全と創出に資する独自の取り組みを行っている。</t>
    <rPh sb="14" eb="16">
      <t>カンキョウ</t>
    </rPh>
    <phoneticPr fontId="21"/>
  </si>
  <si>
    <t>まちなみ・景観への配慮</t>
  </si>
  <si>
    <t>(評価ポイント0)</t>
    <rPh sb="1" eb="3">
      <t>ヒョウカ</t>
    </rPh>
    <phoneticPr fontId="21"/>
  </si>
  <si>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</si>
  <si>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1"/>
  </si>
  <si>
    <t>2）植栽による良好な景観形成</t>
    <rPh sb="2" eb="4">
      <t>ショクサイ</t>
    </rPh>
    <phoneticPr fontId="21"/>
  </si>
  <si>
    <t>4）地域性のある素材による良好な景観形成</t>
    <rPh sb="2" eb="5">
      <t>チイキセイ</t>
    </rPh>
    <rPh sb="8" eb="10">
      <t>ソザイ</t>
    </rPh>
    <rPh sb="13" eb="15">
      <t>リョウコウ</t>
    </rPh>
    <rPh sb="16" eb="18">
      <t>ケイカン</t>
    </rPh>
    <rPh sb="18" eb="20">
      <t>ケイセイ</t>
    </rPh>
    <phoneticPr fontId="21"/>
  </si>
  <si>
    <t>5）周辺の主要な視点場からの良好な景観形成</t>
    <rPh sb="8" eb="10">
      <t>シテン</t>
    </rPh>
    <rPh sb="10" eb="11">
      <t>バ</t>
    </rPh>
    <phoneticPr fontId="21"/>
  </si>
  <si>
    <t>6）その他（記述）</t>
    <rPh sb="4" eb="5">
      <t>タ</t>
    </rPh>
    <rPh sb="6" eb="8">
      <t>キジュツ</t>
    </rPh>
    <phoneticPr fontId="21"/>
  </si>
  <si>
    <t>地域性・アメニティへの配慮</t>
  </si>
  <si>
    <t>地域性への配慮、快適性の向上</t>
    <rPh sb="0" eb="3">
      <t>チイキセイ</t>
    </rPh>
    <rPh sb="5" eb="7">
      <t>ハイリョ</t>
    </rPh>
    <rPh sb="8" eb="11">
      <t>カイテキセイ</t>
    </rPh>
    <rPh sb="12" eb="14">
      <t>コウジョウ</t>
    </rPh>
    <phoneticPr fontId="21"/>
  </si>
  <si>
    <t>地域性・アメニティへの配慮に関して取組みを行っていない。(評価ポイント0)</t>
  </si>
  <si>
    <t>地域性・アメニティへの配慮に関して取組みが十分とはいえない。(評価ポイント1)</t>
  </si>
  <si>
    <t>ホテルo</t>
    <phoneticPr fontId="21"/>
  </si>
  <si>
    <t>集合住宅o</t>
    <phoneticPr fontId="21"/>
  </si>
  <si>
    <t>延面積比率</t>
    <phoneticPr fontId="21"/>
  </si>
  <si>
    <t>Q</t>
    <phoneticPr fontId="21"/>
  </si>
  <si>
    <t xml:space="preserve"> Q</t>
    <phoneticPr fontId="21"/>
  </si>
  <si>
    <t>Q</t>
    <phoneticPr fontId="21"/>
  </si>
  <si>
    <t>建築物の環境品質</t>
    <phoneticPr fontId="21"/>
  </si>
  <si>
    <t>Q1</t>
    <phoneticPr fontId="34" type="noConversion"/>
  </si>
  <si>
    <t>室内環境</t>
    <phoneticPr fontId="21"/>
  </si>
  <si>
    <t>騒音</t>
    <phoneticPr fontId="21"/>
  </si>
  <si>
    <t>1.2.1</t>
    <phoneticPr fontId="21"/>
  </si>
  <si>
    <t>開口部遮音性能</t>
    <phoneticPr fontId="21"/>
  </si>
  <si>
    <t>1.2.2</t>
    <phoneticPr fontId="21"/>
  </si>
  <si>
    <t>1.2.3</t>
    <phoneticPr fontId="21"/>
  </si>
  <si>
    <t>1.2.4</t>
    <phoneticPr fontId="21"/>
  </si>
  <si>
    <t>2.1.1</t>
    <phoneticPr fontId="21"/>
  </si>
  <si>
    <t>2.3.1</t>
    <phoneticPr fontId="21"/>
  </si>
  <si>
    <t>2.3.1</t>
    <phoneticPr fontId="21"/>
  </si>
  <si>
    <t>2.3.2</t>
    <phoneticPr fontId="21"/>
  </si>
  <si>
    <t>2.3.2</t>
    <phoneticPr fontId="21"/>
  </si>
  <si>
    <t>1)主たる建築設備(空調設備)に伴う排熱は、建築物の高い位置からの放出に努める。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3" eb="65">
      <t>セツビ</t>
    </rPh>
    <rPh sb="65" eb="67">
      <t>ヨウリョウ</t>
    </rPh>
    <rPh sb="71" eb="73">
      <t>テイド</t>
    </rPh>
    <rPh sb="73" eb="75">
      <t>イジョウ</t>
    </rPh>
    <rPh sb="82" eb="84">
      <t>イジョウ</t>
    </rPh>
    <rPh sb="91" eb="93">
      <t>イチ</t>
    </rPh>
    <rPh sb="94" eb="96">
      <t>セッチ</t>
    </rPh>
    <rPh sb="109" eb="111">
      <t>レイキャク</t>
    </rPh>
    <rPh sb="111" eb="112">
      <t>トウ</t>
    </rPh>
    <rPh sb="113" eb="116">
      <t>シツガイキ</t>
    </rPh>
    <rPh sb="117" eb="119">
      <t>セッチ</t>
    </rPh>
    <rPh sb="137" eb="139">
      <t>イジョウ</t>
    </rPh>
    <rPh sb="140" eb="142">
      <t>イチ</t>
    </rPh>
    <rPh sb="143" eb="145">
      <t>セッチ</t>
    </rPh>
    <phoneticPr fontId="21"/>
  </si>
  <si>
    <t>2)主たる建築設備(燃焼設備)に伴う高温排熱は、建築物の高い位置からの放出に努める。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1" eb="63">
      <t>セツビ</t>
    </rPh>
    <rPh sb="63" eb="65">
      <t>ヨウリョウ</t>
    </rPh>
    <rPh sb="69" eb="71">
      <t>テイド</t>
    </rPh>
    <rPh sb="71" eb="73">
      <t>イジョウ</t>
    </rPh>
    <rPh sb="80" eb="82">
      <t>イジョウ</t>
    </rPh>
    <rPh sb="90" eb="92">
      <t>イチ</t>
    </rPh>
    <rPh sb="93" eb="95">
      <t>セッチ</t>
    </rPh>
    <rPh sb="109" eb="111">
      <t>コウオン</t>
    </rPh>
    <rPh sb="111" eb="113">
      <t>ハイネツ</t>
    </rPh>
    <rPh sb="114" eb="116">
      <t>ホウシュツ</t>
    </rPh>
    <rPh sb="116" eb="117">
      <t>ブ</t>
    </rPh>
    <rPh sb="118" eb="120">
      <t>セッチ</t>
    </rPh>
    <rPh sb="138" eb="140">
      <t>イジョウ</t>
    </rPh>
    <rPh sb="141" eb="143">
      <t>イチ</t>
    </rPh>
    <rPh sb="144" eb="146">
      <t>セッチ</t>
    </rPh>
    <phoneticPr fontId="21"/>
  </si>
  <si>
    <t>時間外空調に対する配慮</t>
    <rPh sb="0" eb="3">
      <t>ジカンガイ</t>
    </rPh>
    <rPh sb="3" eb="5">
      <t>クウチョウ</t>
    </rPh>
    <rPh sb="6" eb="7">
      <t>タイ</t>
    </rPh>
    <rPh sb="9" eb="11">
      <t>ハイリョ</t>
    </rPh>
    <phoneticPr fontId="21"/>
  </si>
  <si>
    <t>監視システム</t>
    <rPh sb="0" eb="2">
      <t>カンシ</t>
    </rPh>
    <phoneticPr fontId="21"/>
  </si>
  <si>
    <t>湿度制御</t>
    <rPh sb="0" eb="2">
      <t>ｼﾂﾄﾞ</t>
    </rPh>
    <rPh sb="2" eb="4">
      <t>ｾｲｷﾞｮ</t>
    </rPh>
    <phoneticPr fontId="34" type="noConversion"/>
  </si>
  <si>
    <t>空調方式</t>
    <rPh sb="0" eb="2">
      <t>クウチョウ</t>
    </rPh>
    <rPh sb="2" eb="4">
      <t>ホウシキ</t>
    </rPh>
    <phoneticPr fontId="21"/>
  </si>
  <si>
    <t>上下温度差</t>
    <rPh sb="0" eb="2">
      <t>ジョウゲ</t>
    </rPh>
    <rPh sb="2" eb="5">
      <t>オンドサ</t>
    </rPh>
    <phoneticPr fontId="21"/>
  </si>
  <si>
    <t>建築基準法施行細則第8条（建築設備等の定期報告）に基づく換気設備定期点検を年1回実施し、改善している。
※特定行政庁が規定する特殊建築物に該当しない場合は取組み「0点」として評価する。</t>
    <phoneticPr fontId="21"/>
  </si>
  <si>
    <t>建築物環境衛生管理基準レベルの空調管理を実施し、記録を保管している。</t>
    <phoneticPr fontId="21"/>
  </si>
  <si>
    <t>ねずみ等の点検・防除は何も実施していない。</t>
    <phoneticPr fontId="21"/>
  </si>
  <si>
    <t>病・ホ・住</t>
    <phoneticPr fontId="21"/>
  </si>
  <si>
    <t>0.7≦　[壁長さ比率]</t>
    <phoneticPr fontId="21"/>
  </si>
  <si>
    <t>0.5≦　[壁長さ比率] ＜0.7</t>
    <phoneticPr fontId="21"/>
  </si>
  <si>
    <t>0.3≦　[壁長さ比率] ＜0.5</t>
    <phoneticPr fontId="21"/>
  </si>
  <si>
    <t>0.1≦　[壁長さ比率] ＜0.3</t>
    <phoneticPr fontId="21"/>
  </si>
  <si>
    <t xml:space="preserve"> [壁長さ比率] ＜0.1</t>
    <phoneticPr fontId="21"/>
  </si>
  <si>
    <t>外周壁の長さ（ｍ）＋耐力壁の長さ（ｍ）</t>
    <phoneticPr fontId="21"/>
  </si>
  <si>
    <t>専用面積（㎡）</t>
    <phoneticPr fontId="21"/>
  </si>
  <si>
    <r>
      <t xml:space="preserve">3.3.1 </t>
    </r>
    <r>
      <rPr>
        <b/>
        <sz val="10"/>
        <rFont val="ＭＳ Ｐゴシック"/>
        <family val="3"/>
        <charset val="128"/>
      </rPr>
      <t>空調配管の更新性</t>
    </r>
    <phoneticPr fontId="21"/>
  </si>
  <si>
    <r>
      <t xml:space="preserve">3.3.2 </t>
    </r>
    <r>
      <rPr>
        <b/>
        <sz val="10"/>
        <rFont val="ＭＳ Ｐゴシック"/>
        <family val="3"/>
        <charset val="128"/>
      </rPr>
      <t>給排水管の更新性</t>
    </r>
    <phoneticPr fontId="21"/>
  </si>
  <si>
    <t>将来用（更新用）スペース、ルートの確保されることなどによって、構造部材を痛めることなくほぼ全ての空調配管の更新・修繕ができる。 または中央式空調設備を持たない。</t>
    <phoneticPr fontId="21"/>
  </si>
  <si>
    <t>2.1.7 時間外空調に対する配慮</t>
    <phoneticPr fontId="21"/>
  </si>
  <si>
    <t>建物全体・共用部分</t>
    <phoneticPr fontId="21"/>
  </si>
  <si>
    <t>同一フロアで熱負荷別に複数にゾーニングがなされており、複数ゾーン監視のために制御センサとは別に複数の監視・計測用センサがある監視システムが設置されている。</t>
    <phoneticPr fontId="21"/>
  </si>
  <si>
    <t>型　枠</t>
    <rPh sb="0" eb="1">
      <t>カタ</t>
    </rPh>
    <rPh sb="2" eb="3">
      <t>ワク</t>
    </rPh>
    <phoneticPr fontId="21"/>
  </si>
  <si>
    <t>主要なリサイクル建材と利用利率</t>
    <rPh sb="0" eb="2">
      <t>シュヨウ</t>
    </rPh>
    <rPh sb="8" eb="10">
      <t>ケンザイ</t>
    </rPh>
    <rPh sb="11" eb="13">
      <t>リヨウ</t>
    </rPh>
    <rPh sb="13" eb="15">
      <t>リリツ</t>
    </rPh>
    <phoneticPr fontId="21"/>
  </si>
  <si>
    <t>高炉セメント
（躯体での利用率）</t>
    <rPh sb="0" eb="2">
      <t>コウロ</t>
    </rPh>
    <rPh sb="8" eb="10">
      <t>クタイ</t>
    </rPh>
    <rPh sb="12" eb="14">
      <t>リヨウ</t>
    </rPh>
    <rPh sb="14" eb="15">
      <t>リツ</t>
    </rPh>
    <phoneticPr fontId="21"/>
  </si>
  <si>
    <t>既存躯体の再利用
（躯体での利用率）</t>
    <rPh sb="0" eb="2">
      <t>キソン</t>
    </rPh>
    <rPh sb="2" eb="4">
      <t>クタイ</t>
    </rPh>
    <rPh sb="5" eb="8">
      <t>サイリヨウ</t>
    </rPh>
    <rPh sb="10" eb="12">
      <t>クタイ</t>
    </rPh>
    <rPh sb="14" eb="17">
      <t>リヨウリツ</t>
    </rPh>
    <phoneticPr fontId="21"/>
  </si>
  <si>
    <t>電炉鋼材（鉄筋）</t>
    <rPh sb="0" eb="2">
      <t>デンロ</t>
    </rPh>
    <rPh sb="2" eb="4">
      <t>コウザイ</t>
    </rPh>
    <phoneticPr fontId="21"/>
  </si>
  <si>
    <t>電炉鋼材（鋼材）</t>
    <rPh sb="0" eb="2">
      <t>デンロ</t>
    </rPh>
    <rPh sb="2" eb="4">
      <t>コウザイ</t>
    </rPh>
    <rPh sb="5" eb="7">
      <t>コウザイ</t>
    </rPh>
    <phoneticPr fontId="21"/>
  </si>
  <si>
    <t>更新周期（年）</t>
    <rPh sb="0" eb="2">
      <t>コウシン</t>
    </rPh>
    <rPh sb="2" eb="4">
      <t>シュウキ</t>
    </rPh>
    <rPh sb="5" eb="6">
      <t>ネン</t>
    </rPh>
    <phoneticPr fontId="21"/>
  </si>
  <si>
    <t>平均修繕率（％/年）</t>
    <rPh sb="0" eb="2">
      <t>ヘイキン</t>
    </rPh>
    <rPh sb="2" eb="4">
      <t>シュウゼン</t>
    </rPh>
    <rPh sb="4" eb="5">
      <t>リツ</t>
    </rPh>
    <rPh sb="8" eb="9">
      <t>ネン</t>
    </rPh>
    <phoneticPr fontId="21"/>
  </si>
  <si>
    <t>一般的な冬期30～45％、夏期55％～80％の範囲で計画されている。</t>
    <phoneticPr fontId="21"/>
  </si>
  <si>
    <t>加湿・除湿機能を有し、かつASHRAE快適域やPOEM-Oを参考に45％～55％の範囲で計画されている。</t>
    <phoneticPr fontId="21"/>
  </si>
  <si>
    <t>加湿・除湿機能を有し、ASHRAE快適域やPOEM-Oを参考に45％～55％の範囲で計画されている。</t>
    <phoneticPr fontId="21"/>
  </si>
  <si>
    <t>加湿・除湿機能を有し、45％～55％の快適範囲を設定し、なおかつ、熱橋となる部分の断熱補強、防湿層、通気層の設置等の結露防止対策がとられている。</t>
    <phoneticPr fontId="21"/>
  </si>
  <si>
    <t>レベル３を満たさない。</t>
    <phoneticPr fontId="21"/>
  </si>
  <si>
    <t>何も配慮していない。</t>
    <phoneticPr fontId="21"/>
  </si>
  <si>
    <t>加湿機能を有し、かつ一般的な冬期40％、夏期50％の湿度を実現する設備容量が確保されている。</t>
    <phoneticPr fontId="21"/>
  </si>
  <si>
    <t>加湿機能を有し、かつ一般的な冬期40～70％、夏期50～65％の湿度を実現する設備容量が確保されている。</t>
    <phoneticPr fontId="21"/>
  </si>
  <si>
    <t>一般的な冬期30～45％、夏期55％～80％の範囲にある。</t>
    <phoneticPr fontId="21"/>
  </si>
  <si>
    <t>加湿機能を有し、かつ一般的な夏期50％、冬期40％の湿度を実現する設備容量が確保されている。</t>
    <phoneticPr fontId="21"/>
  </si>
  <si>
    <t>寒冷地域</t>
    <rPh sb="0" eb="2">
      <t>カンレイ</t>
    </rPh>
    <rPh sb="2" eb="4">
      <t>チイキ</t>
    </rPh>
    <phoneticPr fontId="21"/>
  </si>
  <si>
    <t>■地域・地区</t>
    <rPh sb="1" eb="3">
      <t>ﾁｲｷ</t>
    </rPh>
    <rPh sb="4" eb="6">
      <t>ﾁｸ</t>
    </rPh>
    <phoneticPr fontId="34" type="noConversion"/>
  </si>
  <si>
    <t>商業地域、防火地域</t>
    <rPh sb="0" eb="2">
      <t>ショウギョウ</t>
    </rPh>
    <rPh sb="2" eb="4">
      <t>チイキ</t>
    </rPh>
    <rPh sb="5" eb="7">
      <t>ボウカ</t>
    </rPh>
    <rPh sb="7" eb="9">
      <t>チイキ</t>
    </rPh>
    <phoneticPr fontId="21"/>
  </si>
  <si>
    <t>■竣工年 (予定/竣工)</t>
    <rPh sb="1" eb="3">
      <t>ｼｭﾝｺｳ</t>
    </rPh>
    <rPh sb="3" eb="4">
      <t>ﾈﾝ</t>
    </rPh>
    <rPh sb="6" eb="8">
      <t>ﾖﾃｲ</t>
    </rPh>
    <rPh sb="9" eb="11">
      <t>ｼｭﾝｺｳ</t>
    </rPh>
    <phoneticPr fontId="34" type="noConversion"/>
  </si>
  <si>
    <t>暑熱地域</t>
    <rPh sb="0" eb="2">
      <t>ショネツ</t>
    </rPh>
    <rPh sb="2" eb="4">
      <t>チイキ</t>
    </rPh>
    <phoneticPr fontId="21"/>
  </si>
  <si>
    <t>■敷地面積</t>
    <rPh sb="1" eb="3">
      <t>ｼｷﾁ</t>
    </rPh>
    <rPh sb="3" eb="5">
      <t>ﾒﾝｾｷ</t>
    </rPh>
    <phoneticPr fontId="34" type="noConversion"/>
  </si>
  <si>
    <t>■建築面積</t>
    <rPh sb="1" eb="3">
      <t>ｹﾝﾁｸ</t>
    </rPh>
    <rPh sb="3" eb="5">
      <t>ﾒﾝｾｷ</t>
    </rPh>
    <phoneticPr fontId="34" type="noConversion"/>
  </si>
  <si>
    <t>■延床面積</t>
    <rPh sb="1" eb="2">
      <t>ﾉ</t>
    </rPh>
    <rPh sb="2" eb="5">
      <t>ﾕｶﾒﾝｾｷ</t>
    </rPh>
    <phoneticPr fontId="34" type="noConversion"/>
  </si>
  <si>
    <t>■建物用途名</t>
    <rPh sb="1" eb="3">
      <t>タテモノ</t>
    </rPh>
    <rPh sb="3" eb="5">
      <t>ヨウト</t>
    </rPh>
    <rPh sb="5" eb="6">
      <t>メイ</t>
    </rPh>
    <phoneticPr fontId="21"/>
  </si>
  <si>
    <t>○○</t>
    <phoneticPr fontId="21"/>
  </si>
  <si>
    <t>■階数</t>
    <rPh sb="1" eb="3">
      <t>カイスウ</t>
    </rPh>
    <phoneticPr fontId="21"/>
  </si>
  <si>
    <t>地上○○F</t>
    <rPh sb="0" eb="2">
      <t>チジョウ</t>
    </rPh>
    <phoneticPr fontId="21"/>
  </si>
  <si>
    <t>テレビ、ラジオ、会話等の一般の発生音がかなり聞こえる。</t>
    <phoneticPr fontId="21"/>
  </si>
  <si>
    <t xml:space="preserve">隣戸の生活がかなり分かる。 </t>
    <phoneticPr fontId="21"/>
  </si>
  <si>
    <t>人の話し声が気にならない。</t>
    <phoneticPr fontId="21"/>
  </si>
  <si>
    <t>会話等の一般の発生音が小さく聞える。</t>
    <phoneticPr fontId="21"/>
  </si>
  <si>
    <t>テレビ、ラジオ、会話等の一般の発生音が小さく聞こえる。</t>
    <phoneticPr fontId="21"/>
  </si>
  <si>
    <t>隣戸住宅の生活がわかるがあまり気にならない。</t>
    <phoneticPr fontId="21"/>
  </si>
  <si>
    <t>会話等の一般の発生音がほとんど聞えない。</t>
    <phoneticPr fontId="21"/>
  </si>
  <si>
    <t>Dr-40未満</t>
    <phoneticPr fontId="21"/>
  </si>
  <si>
    <t>Dr-40</t>
    <phoneticPr fontId="21"/>
  </si>
  <si>
    <t>Dr-45</t>
    <phoneticPr fontId="21"/>
  </si>
  <si>
    <t>Dr-50</t>
    <phoneticPr fontId="21"/>
  </si>
  <si>
    <t>1.2.3 界床遮音性能（軽量衝撃源）</t>
    <phoneticPr fontId="21"/>
  </si>
  <si>
    <t>建物全体・共用部分</t>
    <phoneticPr fontId="21"/>
  </si>
  <si>
    <t>病・ホ・住</t>
    <phoneticPr fontId="21"/>
  </si>
  <si>
    <t>椅子の移動音、物の落下音がかなりうるさい。　</t>
    <phoneticPr fontId="21"/>
  </si>
  <si>
    <t>採点結果</t>
    <rPh sb="0" eb="2">
      <t>サイテン</t>
    </rPh>
    <rPh sb="2" eb="4">
      <t>ケッカ</t>
    </rPh>
    <phoneticPr fontId="21"/>
  </si>
  <si>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1"/>
  </si>
  <si>
    <t>Q2/2.2.1 躯体材料の耐用年数</t>
    <rPh sb="9" eb="11">
      <t>クタイ</t>
    </rPh>
    <rPh sb="11" eb="13">
      <t>ザイリョウ</t>
    </rPh>
    <rPh sb="14" eb="16">
      <t>タイヨウ</t>
    </rPh>
    <rPh sb="16" eb="18">
      <t>ネンスウ</t>
    </rPh>
    <phoneticPr fontId="21"/>
  </si>
  <si>
    <t>ホテル</t>
  </si>
  <si>
    <t>評価対象の構造</t>
    <rPh sb="0" eb="2">
      <t>ヒョウカ</t>
    </rPh>
    <rPh sb="2" eb="4">
      <t>タイショウ</t>
    </rPh>
    <rPh sb="5" eb="7">
      <t>コウゾウ</t>
    </rPh>
    <phoneticPr fontId="21"/>
  </si>
  <si>
    <t>LR2/2.2 既存建築躯体等の継続使用</t>
    <rPh sb="8" eb="10">
      <t>キソン</t>
    </rPh>
    <rPh sb="10" eb="12">
      <t>ケンチク</t>
    </rPh>
    <rPh sb="12" eb="14">
      <t>クタイ</t>
    </rPh>
    <rPh sb="14" eb="15">
      <t>トウ</t>
    </rPh>
    <rPh sb="16" eb="18">
      <t>ケイゾク</t>
    </rPh>
    <rPh sb="18" eb="20">
      <t>シヨウ</t>
    </rPh>
    <phoneticPr fontId="21"/>
  </si>
  <si>
    <t>用途地域</t>
    <rPh sb="0" eb="2">
      <t>ﾖｳﾄ</t>
    </rPh>
    <rPh sb="2" eb="4">
      <t>ﾁｲｷ</t>
    </rPh>
    <phoneticPr fontId="34"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</si>
  <si>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1"/>
  </si>
  <si>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</si>
  <si>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再生材料を用いた舗装用ブロック（焼成）</t>
    <rPh sb="0" eb="2">
      <t>サイセイ</t>
    </rPh>
    <rPh sb="2" eb="4">
      <t>ザイリョウ</t>
    </rPh>
    <rPh sb="5" eb="6">
      <t>モチ</t>
    </rPh>
    <rPh sb="8" eb="11">
      <t>ホソウヨウ</t>
    </rPh>
    <rPh sb="16" eb="17">
      <t>ヤ</t>
    </rPh>
    <rPh sb="17" eb="18">
      <t>ナリ</t>
    </rPh>
    <phoneticPr fontId="21"/>
  </si>
  <si>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</si>
  <si>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1"/>
  </si>
  <si>
    <t>レベル３程度の空調のゾーニングがなされており、さらにゾーン別に冷房・暖房の選択が可能な空調システムとしている。</t>
    <phoneticPr fontId="21"/>
  </si>
  <si>
    <t>二重ダクト方式（ＡＨＵで４管式）、４管式ＦＣＵ方式、タスク・アンビエント空調方式（ゾーニングのグレード、冷暖同時の双方を評価）</t>
    <phoneticPr fontId="21"/>
  </si>
  <si>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</si>
  <si>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1"/>
  </si>
  <si>
    <t>●個別計算</t>
    <rPh sb="1" eb="3">
      <t>コベツ</t>
    </rPh>
    <rPh sb="3" eb="5">
      <t>ケイサン</t>
    </rPh>
    <phoneticPr fontId="21"/>
  </si>
  <si>
    <t>用途名</t>
    <rPh sb="0" eb="2">
      <t>ヨウト</t>
    </rPh>
    <rPh sb="2" eb="3">
      <t>メイ</t>
    </rPh>
    <phoneticPr fontId="21"/>
  </si>
  <si>
    <t xml:space="preserve"> 含まれる用途</t>
    <rPh sb="1" eb="2">
      <t>フク</t>
    </rPh>
    <rPh sb="5" eb="7">
      <t>ヨウト</t>
    </rPh>
    <phoneticPr fontId="21"/>
  </si>
  <si>
    <t xml:space="preserve"> 事務所</t>
  </si>
  <si>
    <t xml:space="preserve"> 事務所、庁舎、図書館、博物館、郵便局 など</t>
    <rPh sb="1" eb="3">
      <t>ジム</t>
    </rPh>
    <rPh sb="3" eb="4">
      <t>ショ</t>
    </rPh>
    <rPh sb="5" eb="7">
      <t>チョウシャ</t>
    </rPh>
    <rPh sb="8" eb="11">
      <t>トショカン</t>
    </rPh>
    <rPh sb="12" eb="15">
      <t>ハクブツカン</t>
    </rPh>
    <rPh sb="16" eb="19">
      <t>ユウビンキョク</t>
    </rPh>
    <phoneticPr fontId="21"/>
  </si>
  <si>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1"/>
  </si>
  <si>
    <t>周辺のまちなみや景観に対して、標準的な配慮が行われている。(評価ポイント3)</t>
    <phoneticPr fontId="21"/>
  </si>
  <si>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1"/>
  </si>
  <si>
    <t>1）建物の配置・形態等のまちなみへの調和</t>
    <phoneticPr fontId="21"/>
  </si>
  <si>
    <t>建物高さ、壁面位置、外装･屋根･庇･開口部･塀等の形状や色彩において、周辺のまちなみや風景にバランスよく調和させている。</t>
    <phoneticPr fontId="21"/>
  </si>
  <si>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1"/>
  </si>
  <si>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1"/>
  </si>
  <si>
    <t>建築物環境衛生管理基準を満たしている。</t>
    <rPh sb="0" eb="3">
      <t>ケンチクブツ</t>
    </rPh>
    <rPh sb="3" eb="5">
      <t>カンキョウ</t>
    </rPh>
    <rPh sb="5" eb="7">
      <t>エイセイ</t>
    </rPh>
    <rPh sb="7" eb="9">
      <t>カンリ</t>
    </rPh>
    <rPh sb="9" eb="11">
      <t>キジュン</t>
    </rPh>
    <rPh sb="12" eb="13">
      <t>ミ</t>
    </rPh>
    <phoneticPr fontId="21"/>
  </si>
  <si>
    <t>耐用性・信頼性</t>
    <rPh sb="0" eb="2">
      <t>タイヨウ</t>
    </rPh>
    <rPh sb="2" eb="3">
      <t>セイ</t>
    </rPh>
    <rPh sb="4" eb="7">
      <t>シンライセイ</t>
    </rPh>
    <phoneticPr fontId="21"/>
  </si>
  <si>
    <t>耐震・免震</t>
    <rPh sb="0" eb="2">
      <t>タイシン</t>
    </rPh>
    <rPh sb="3" eb="4">
      <t>メン</t>
    </rPh>
    <rPh sb="4" eb="5">
      <t>シン</t>
    </rPh>
    <phoneticPr fontId="21"/>
  </si>
  <si>
    <r>
      <t xml:space="preserve">2.1.1 </t>
    </r>
    <r>
      <rPr>
        <b/>
        <sz val="10"/>
        <rFont val="ＭＳ Ｐゴシック"/>
        <family val="3"/>
        <charset val="128"/>
      </rPr>
      <t>耐震性</t>
    </r>
    <rPh sb="6" eb="9">
      <t>タイシンセイ</t>
    </rPh>
    <phoneticPr fontId="21"/>
  </si>
  <si>
    <t>(該当するレベルなし)</t>
    <phoneticPr fontId="21"/>
  </si>
  <si>
    <t>建築基準法に定められた耐震性を有する。</t>
  </si>
  <si>
    <t>免震・制振装置を導入していない。</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</si>
  <si>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</si>
  <si>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</si>
  <si>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1"/>
  </si>
  <si>
    <t>事業者名</t>
  </si>
  <si>
    <t>(t-CO2/kWh)</t>
  </si>
  <si>
    <t>その他</t>
    <rPh sb="2" eb="3">
      <t>タ</t>
    </rPh>
    <phoneticPr fontId="21"/>
  </si>
  <si>
    <t>日本住宅性能表示基準「5-1断熱等性能等級」における等級2相当の屋根・外壁・床の部材構成、開口部の仕様を設定している。</t>
    <phoneticPr fontId="21"/>
  </si>
  <si>
    <t>日本住宅性能表示基準「5-1断熱等性能等級」における等級3相当の屋根・外壁・床の部材構成、開口部の仕様を設定している。</t>
    <phoneticPr fontId="21"/>
  </si>
  <si>
    <t>日本住宅性能表示基準「5-1断熱等性能等級」における等級4相当の屋根・外壁・床の部材構成、開口部の仕様を設定している。</t>
    <phoneticPr fontId="21"/>
  </si>
  <si>
    <t>日本住宅性能表示基準「5-1断熱等性能等級」における等級1を満たす。</t>
    <rPh sb="14" eb="16">
      <t>ダンネツ</t>
    </rPh>
    <rPh sb="16" eb="17">
      <t>トウ</t>
    </rPh>
    <rPh sb="17" eb="19">
      <t>セイノウ</t>
    </rPh>
    <rPh sb="19" eb="21">
      <t>トウキュウ</t>
    </rPh>
    <rPh sb="30" eb="31">
      <t>ミ</t>
    </rPh>
    <phoneticPr fontId="21"/>
  </si>
  <si>
    <t>日本住宅性能表示基準「5-1断熱等性能等級」における等級2を満たす。</t>
    <phoneticPr fontId="21"/>
  </si>
  <si>
    <t>日本住宅性能表示基準「5-1断熱等性能等級」における等級3を満たす。</t>
    <phoneticPr fontId="21"/>
  </si>
  <si>
    <t>日本住宅性能表示基準「5-1断熱等性能等級」における等級4を満たす。</t>
    <phoneticPr fontId="21"/>
  </si>
  <si>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phoneticPr fontId="21"/>
  </si>
  <si>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1"/>
  </si>
  <si>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1"/>
  </si>
  <si>
    <t>窓が開閉不可能な居室において、自然換気有効開口がない、または25cm2/m2未満。あるいは窓が開閉可能な居室において、自然換気有効開口面積が居室床面積の1/50以上</t>
    <phoneticPr fontId="21"/>
  </si>
  <si>
    <t>窓が開閉不可能な居室において自然換気有効開口がない、または50cm2/m2未満。あるいは窓が開閉可能な居室において、自然換気有効開口面積が居室床面積の1/20以上</t>
    <phoneticPr fontId="21"/>
  </si>
  <si>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1"/>
  </si>
  <si>
    <t>リフレッシュスペースが執務スペースの1％未満</t>
    <phoneticPr fontId="21"/>
  </si>
  <si>
    <t>「家庭部門エネルギー種別最終エネルギー消費（平成23年度におけるエネルギー需給実績、資源エネルギー庁）」</t>
    <phoneticPr fontId="21"/>
  </si>
  <si>
    <t>■効率的な運用</t>
    <rPh sb="1" eb="4">
      <t>コウリツテキ</t>
    </rPh>
    <rPh sb="5" eb="7">
      <t>ウンヨウ</t>
    </rPh>
    <phoneticPr fontId="21"/>
  </si>
  <si>
    <t>専有部面積</t>
    <rPh sb="0" eb="2">
      <t>センユウ</t>
    </rPh>
    <rPh sb="2" eb="3">
      <t>ブ</t>
    </rPh>
    <rPh sb="3" eb="5">
      <t>メンセキ</t>
    </rPh>
    <phoneticPr fontId="21"/>
  </si>
  <si>
    <t>1</t>
    <phoneticPr fontId="21"/>
  </si>
  <si>
    <t>レベル</t>
    <phoneticPr fontId="21"/>
  </si>
  <si>
    <t>3</t>
    <phoneticPr fontId="21"/>
  </si>
  <si>
    <r>
      <t>延面積</t>
    </r>
    <r>
      <rPr>
        <sz val="10"/>
        <rFont val="ＭＳ Ｐゴシック"/>
        <family val="3"/>
        <charset val="128"/>
      </rPr>
      <t>(㎡)</t>
    </r>
    <rPh sb="0" eb="1">
      <t>ノ</t>
    </rPh>
    <rPh sb="1" eb="3">
      <t>メンセキ</t>
    </rPh>
    <phoneticPr fontId="21"/>
  </si>
  <si>
    <t>αM</t>
    <phoneticPr fontId="21"/>
  </si>
  <si>
    <t>βM</t>
    <phoneticPr fontId="21"/>
  </si>
  <si>
    <t>EM</t>
    <phoneticPr fontId="21"/>
  </si>
  <si>
    <t>建築物衛生法における特定建築物</t>
  </si>
  <si>
    <t>1) 汚染源対策</t>
    <rPh sb="3" eb="6">
      <t>オセンゲン</t>
    </rPh>
    <rPh sb="6" eb="8">
      <t>タイサク</t>
    </rPh>
    <phoneticPr fontId="21"/>
  </si>
  <si>
    <t>2) 清掃方法</t>
    <rPh sb="3" eb="5">
      <t>セイソウ</t>
    </rPh>
    <rPh sb="5" eb="7">
      <t>ホウホウ</t>
    </rPh>
    <phoneticPr fontId="21"/>
  </si>
  <si>
    <t>3) 清掃資材</t>
    <rPh sb="3" eb="5">
      <t>セイソウ</t>
    </rPh>
    <rPh sb="5" eb="7">
      <t>シザイ</t>
    </rPh>
    <phoneticPr fontId="21"/>
  </si>
  <si>
    <t>フェロニッケルスラグ骨材</t>
    <rPh sb="10" eb="12">
      <t>コツザイ</t>
    </rPh>
    <phoneticPr fontId="21"/>
  </si>
  <si>
    <t>銅スラグ骨材</t>
    <rPh sb="0" eb="1">
      <t>ドウ</t>
    </rPh>
    <rPh sb="4" eb="6">
      <t>コツザイ</t>
    </rPh>
    <phoneticPr fontId="21"/>
  </si>
  <si>
    <t>電気炉酸化スラグ骨材</t>
    <rPh sb="0" eb="3">
      <t>デンキロ</t>
    </rPh>
    <rPh sb="3" eb="5">
      <t>サンカ</t>
    </rPh>
    <rPh sb="8" eb="10">
      <t>コツザイ</t>
    </rPh>
    <phoneticPr fontId="21"/>
  </si>
  <si>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1"/>
  </si>
  <si>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1"/>
  </si>
  <si>
    <r>
      <t xml:space="preserve">2.2.6 </t>
    </r>
    <r>
      <rPr>
        <b/>
        <sz val="10"/>
        <rFont val="ＭＳ Ｐゴシック"/>
        <family val="3"/>
        <charset val="128"/>
      </rPr>
      <t>主要設備機器の更新必要間隔</t>
    </r>
    <phoneticPr fontId="21"/>
  </si>
  <si>
    <t>７年未満</t>
    <phoneticPr fontId="21"/>
  </si>
  <si>
    <r>
      <t xml:space="preserve">2.3.1 </t>
    </r>
    <r>
      <rPr>
        <b/>
        <sz val="10"/>
        <rFont val="ＭＳ Ｐゴシック"/>
        <family val="3"/>
        <charset val="128"/>
      </rPr>
      <t>屋上（屋根）・外壁仕上げ材の更新</t>
    </r>
    <phoneticPr fontId="21"/>
  </si>
  <si>
    <r>
      <t xml:space="preserve">2.3.2 </t>
    </r>
    <r>
      <rPr>
        <b/>
        <sz val="10"/>
        <rFont val="ＭＳ Ｐゴシック"/>
        <family val="3"/>
        <charset val="128"/>
      </rPr>
      <t>配管・配線材の更新</t>
    </r>
    <phoneticPr fontId="21"/>
  </si>
  <si>
    <t>重み係数(既定）＝</t>
    <phoneticPr fontId="21"/>
  </si>
  <si>
    <t>事・学・物・飲・会・病・ホ・工・住</t>
    <phoneticPr fontId="21"/>
  </si>
  <si>
    <t>-</t>
    <phoneticPr fontId="21"/>
  </si>
  <si>
    <r>
      <t xml:space="preserve">2.3.3 </t>
    </r>
    <r>
      <rPr>
        <b/>
        <sz val="10"/>
        <rFont val="ＭＳ Ｐゴシック"/>
        <family val="3"/>
        <charset val="128"/>
      </rPr>
      <t>主要設備機器の更新</t>
    </r>
    <phoneticPr fontId="21"/>
  </si>
  <si>
    <r>
      <t xml:space="preserve">2.4.1 </t>
    </r>
    <r>
      <rPr>
        <b/>
        <sz val="10"/>
        <rFont val="ＭＳ Ｐゴシック"/>
        <family val="3"/>
        <charset val="128"/>
      </rPr>
      <t>空調・換気設備</t>
    </r>
    <phoneticPr fontId="21"/>
  </si>
  <si>
    <t>事・会・病・ホ･工</t>
    <phoneticPr fontId="21"/>
  </si>
  <si>
    <t>学・物・飲・住</t>
    <phoneticPr fontId="21"/>
  </si>
  <si>
    <t>事・学・物・飲・会・病・ホ・工・住【&lt;2000㎡】</t>
    <phoneticPr fontId="21"/>
  </si>
  <si>
    <t>評価する取組みがない。</t>
    <phoneticPr fontId="21"/>
  </si>
  <si>
    <t>一般的な冬期20℃、夏期26℃の設定。</t>
    <phoneticPr fontId="21"/>
  </si>
  <si>
    <t>各居室において一般的な冬期22℃、夏期26℃を設定している。</t>
    <phoneticPr fontId="21"/>
  </si>
  <si>
    <t>ASHRAE快適域やPOEM-Oを参考に冬期22℃～24℃、夏期24℃～26℃の範囲を設定している。</t>
    <phoneticPr fontId="21"/>
  </si>
  <si>
    <t>各居室において冬期22～24℃、夏期24～26℃の範囲を設定している。</t>
    <phoneticPr fontId="21"/>
  </si>
  <si>
    <t>冬期21℃、夏期28℃と多少我慢を強いる室温を実現するための最低限の設備容量が確保されている。</t>
    <phoneticPr fontId="21"/>
  </si>
  <si>
    <t>冬期20℃、夏期28℃と多少我慢を強いる室温を実現するための最低限の設備容量が確保されている。</t>
    <phoneticPr fontId="21"/>
  </si>
  <si>
    <t>一般的な設定値である冬期22℃、夏期26℃の室温を実現するための設備容量が確保されている。</t>
    <phoneticPr fontId="21"/>
  </si>
  <si>
    <t>一般的な設定値である冬期23℃、夏期26℃の室温を実現するための設備容量が確保されている。</t>
    <phoneticPr fontId="21"/>
  </si>
  <si>
    <t>一般的な冬期20℃、夏期27℃の室温を実現するための設備容量が確保されている。</t>
    <phoneticPr fontId="21"/>
  </si>
  <si>
    <t>2000年代初頭</t>
    <rPh sb="4" eb="5">
      <t>ネン</t>
    </rPh>
    <rPh sb="5" eb="6">
      <t>ダイ</t>
    </rPh>
    <rPh sb="6" eb="8">
      <t>ショトウ</t>
    </rPh>
    <phoneticPr fontId="21"/>
  </si>
  <si>
    <t>ウレタン変性イソシアヌレートフォーム</t>
  </si>
  <si>
    <t>次世代</t>
    <rPh sb="0" eb="3">
      <t>ジセダイ</t>
    </rPh>
    <phoneticPr fontId="21"/>
  </si>
  <si>
    <t>スチレンオレフィンフォーム</t>
  </si>
  <si>
    <t>2000年以降</t>
    <rPh sb="4" eb="5">
      <t>ネン</t>
    </rPh>
    <rPh sb="5" eb="7">
      <t>イコウ</t>
    </rPh>
    <phoneticPr fontId="21"/>
  </si>
  <si>
    <t>冬期21℃、夏期28℃と程度と多少我慢を強いる室温設定。</t>
    <rPh sb="12" eb="14">
      <t>テイド</t>
    </rPh>
    <phoneticPr fontId="21"/>
  </si>
  <si>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</si>
  <si>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</si>
  <si>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</si>
  <si>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1"/>
  </si>
  <si>
    <t>評価する取組みが2つ。</t>
    <phoneticPr fontId="21"/>
  </si>
  <si>
    <t>評価する取組みが1つ。</t>
    <rPh sb="0" eb="2">
      <t>ヒョウカ</t>
    </rPh>
    <rPh sb="4" eb="5">
      <t>ト</t>
    </rPh>
    <rPh sb="5" eb="6">
      <t>ク</t>
    </rPh>
    <phoneticPr fontId="21"/>
  </si>
  <si>
    <t>評価する取組みが3つ以上。</t>
  </si>
  <si>
    <t>評価する取組みが2つ以上。</t>
  </si>
  <si>
    <t>評価する取組みが2つ以上。</t>
    <rPh sb="0" eb="2">
      <t>ヒョウカ</t>
    </rPh>
    <rPh sb="4" eb="5">
      <t>ト</t>
    </rPh>
    <rPh sb="5" eb="6">
      <t>ク</t>
    </rPh>
    <rPh sb="10" eb="12">
      <t>イジョウ</t>
    </rPh>
    <phoneticPr fontId="21"/>
  </si>
  <si>
    <t>評価する取り組み</t>
    <rPh sb="0" eb="2">
      <t>ヒョウカ</t>
    </rPh>
    <rPh sb="4" eb="5">
      <t>ト</t>
    </rPh>
    <rPh sb="6" eb="7">
      <t>ク</t>
    </rPh>
    <phoneticPr fontId="21"/>
  </si>
  <si>
    <t>用途</t>
    <rPh sb="0" eb="2">
      <t>ヨウト</t>
    </rPh>
    <phoneticPr fontId="21"/>
  </si>
  <si>
    <t>事・会・病・ホ･工</t>
    <rPh sb="0" eb="1">
      <t>コト</t>
    </rPh>
    <rPh sb="2" eb="3">
      <t>カイ</t>
    </rPh>
    <rPh sb="4" eb="5">
      <t>ヤマイ</t>
    </rPh>
    <rPh sb="8" eb="9">
      <t>コウ</t>
    </rPh>
    <phoneticPr fontId="21"/>
  </si>
  <si>
    <t>学・物・飲・住</t>
    <rPh sb="0" eb="1">
      <t>ガク</t>
    </rPh>
    <rPh sb="2" eb="3">
      <t>モノ</t>
    </rPh>
    <rPh sb="4" eb="5">
      <t>イン</t>
    </rPh>
    <rPh sb="6" eb="7">
      <t>ジュウ</t>
    </rPh>
    <phoneticPr fontId="21"/>
  </si>
  <si>
    <t>事・学・物・飲・会・病・ホ・工・住【&lt;2000㎡】</t>
    <rPh sb="0" eb="1">
      <t>コト</t>
    </rPh>
    <rPh sb="2" eb="3">
      <t>ガク</t>
    </rPh>
    <rPh sb="4" eb="5">
      <t>モノ</t>
    </rPh>
    <rPh sb="6" eb="7">
      <t>イン</t>
    </rPh>
    <rPh sb="8" eb="9">
      <t>カイ</t>
    </rPh>
    <rPh sb="10" eb="11">
      <t>ヤマイ</t>
    </rPh>
    <rPh sb="14" eb="15">
      <t>コウ</t>
    </rPh>
    <rPh sb="16" eb="17">
      <t>ジュウ</t>
    </rPh>
    <phoneticPr fontId="21"/>
  </si>
  <si>
    <t>床面積</t>
    <rPh sb="0" eb="3">
      <t>ユカメンセキ</t>
    </rPh>
    <phoneticPr fontId="21"/>
  </si>
  <si>
    <t>得点</t>
    <rPh sb="0" eb="2">
      <t>トクテン</t>
    </rPh>
    <phoneticPr fontId="21"/>
  </si>
  <si>
    <t>耐震クラスS（Aクラスに加え、大きな補修をすることなく全ての機能が確保できる。）</t>
  </si>
  <si>
    <t>耐震クラスB（大地震後に人命の安全および二次災害の防止が図られている。）または、動的解析を行った上で設計用水平震度KHを1.0以上としている。</t>
    <phoneticPr fontId="21"/>
  </si>
  <si>
    <t>製造熱量/熱源機消費エネルギー（1次エネルギー基準）/蓄熱槽有効蓄熱量/蓄熱槽利用効率</t>
    <phoneticPr fontId="21"/>
  </si>
  <si>
    <t>昇降機</t>
  </si>
  <si>
    <t>各種管制運転効果</t>
  </si>
  <si>
    <t>削減エネルギー量</t>
    <phoneticPr fontId="21"/>
  </si>
  <si>
    <t>太陽光発電設備評価</t>
  </si>
  <si>
    <t>発電効率/定格効率/年間効率</t>
    <phoneticPr fontId="21"/>
  </si>
  <si>
    <t>発電効率/総合効率/省エネルギー率</t>
  </si>
  <si>
    <t>セキュリティ連動による消照効果/換気停止の効果等</t>
  </si>
  <si>
    <t>空調CO2制御効果、換気CO2制御効果、タスクアンビエント空調効果、タスクアンビエント照明効果など</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</si>
  <si>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</si>
  <si>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</si>
  <si>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1"/>
  </si>
  <si>
    <t>一次ｴﾈﾙｷﾞｰ消費量</t>
    <rPh sb="0" eb="2">
      <t>イチジ</t>
    </rPh>
    <rPh sb="8" eb="11">
      <t>ショウヒリョウ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</si>
  <si>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</si>
  <si>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</si>
  <si>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</si>
  <si>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1"/>
  </si>
  <si>
    <t>事・物・飲・会・病・ホ・工・住</t>
    <rPh sb="0" eb="1">
      <t>コト</t>
    </rPh>
    <rPh sb="2" eb="3">
      <t>モノ</t>
    </rPh>
    <rPh sb="4" eb="5">
      <t>イン</t>
    </rPh>
    <rPh sb="6" eb="7">
      <t>カイ</t>
    </rPh>
    <rPh sb="8" eb="9">
      <t>ヤマイ</t>
    </rPh>
    <phoneticPr fontId="21"/>
  </si>
  <si>
    <t>学(大学等)</t>
    <rPh sb="0" eb="1">
      <t>ガク</t>
    </rPh>
    <phoneticPr fontId="21"/>
  </si>
  <si>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</si>
  <si>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</si>
  <si>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</si>
  <si>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1"/>
  </si>
  <si>
    <t>簡易評価</t>
    <rPh sb="0" eb="2">
      <t>カンイ</t>
    </rPh>
    <rPh sb="2" eb="4">
      <t>ヒョウカ</t>
    </rPh>
    <phoneticPr fontId="21"/>
  </si>
  <si>
    <r>
      <t xml:space="preserve">■ </t>
    </r>
    <r>
      <rPr>
        <sz val="10"/>
        <rFont val="ＭＳ Ｐゴシック"/>
        <family val="3"/>
        <charset val="128"/>
      </rPr>
      <t>作成者</t>
    </r>
    <rPh sb="2" eb="5">
      <t>サクセイシャ</t>
    </rPh>
    <phoneticPr fontId="21"/>
  </si>
  <si>
    <t>○○○</t>
    <phoneticPr fontId="21"/>
  </si>
  <si>
    <t>省エネルギー計画書による評価</t>
    <rPh sb="0" eb="1">
      <t>ショウ</t>
    </rPh>
    <rPh sb="6" eb="9">
      <t>ケイカクショ</t>
    </rPh>
    <rPh sb="12" eb="14">
      <t>ヒョウカ</t>
    </rPh>
    <phoneticPr fontId="21"/>
  </si>
  <si>
    <r>
      <t xml:space="preserve">■ </t>
    </r>
    <r>
      <rPr>
        <sz val="10"/>
        <rFont val="ＭＳ Ｐゴシック"/>
        <family val="3"/>
        <charset val="128"/>
      </rPr>
      <t>確認日</t>
    </r>
    <rPh sb="2" eb="4">
      <t>カクニン</t>
    </rPh>
    <rPh sb="4" eb="5">
      <t>ビ</t>
    </rPh>
    <phoneticPr fontId="21"/>
  </si>
  <si>
    <t>竣工段階</t>
    <rPh sb="0" eb="2">
      <t>シュンコウ</t>
    </rPh>
    <rPh sb="2" eb="4">
      <t>ダンカイ</t>
    </rPh>
    <phoneticPr fontId="21"/>
  </si>
  <si>
    <r>
      <t xml:space="preserve">■ </t>
    </r>
    <r>
      <rPr>
        <sz val="10"/>
        <rFont val="ＭＳ Ｐゴシック"/>
        <family val="3"/>
        <charset val="128"/>
      </rPr>
      <t>確認者</t>
    </r>
    <rPh sb="2" eb="4">
      <t>カクニン</t>
    </rPh>
    <rPh sb="4" eb="5">
      <t>シャ</t>
    </rPh>
    <phoneticPr fontId="21"/>
  </si>
  <si>
    <r>
      <t>■</t>
    </r>
    <r>
      <rPr>
        <sz val="10"/>
        <rFont val="ＭＳ Ｐゴシック"/>
        <family val="3"/>
        <charset val="128"/>
      </rPr>
      <t>LCCO2の計算</t>
    </r>
    <rPh sb="7" eb="9">
      <t>ケイサン</t>
    </rPh>
    <phoneticPr fontId="21"/>
  </si>
  <si>
    <t>標準計算</t>
    <rPh sb="0" eb="2">
      <t>ヒョウジュン</t>
    </rPh>
    <rPh sb="2" eb="4">
      <t>ケイサン</t>
    </rPh>
    <phoneticPr fontId="21"/>
  </si>
  <si>
    <t>→LCCO2算定条件シート（標準計算）を入力</t>
    <rPh sb="6" eb="8">
      <t>サンテイ</t>
    </rPh>
    <rPh sb="8" eb="10">
      <t>ジョウケン</t>
    </rPh>
    <rPh sb="14" eb="16">
      <t>ヒョウジュン</t>
    </rPh>
    <rPh sb="16" eb="18">
      <t>ケイサン</t>
    </rPh>
    <rPh sb="20" eb="22">
      <t>ニュウリョク</t>
    </rPh>
    <phoneticPr fontId="21"/>
  </si>
  <si>
    <t>個別計算</t>
    <rPh sb="0" eb="2">
      <t>コベツ</t>
    </rPh>
    <rPh sb="2" eb="4">
      <t>ケイサン</t>
    </rPh>
    <phoneticPr fontId="21"/>
  </si>
  <si>
    <t>→LCCO2算定条件シート（個別計算）を入力</t>
    <rPh sb="6" eb="8">
      <t>サンテイ</t>
    </rPh>
    <rPh sb="8" eb="10">
      <t>ジョウケン</t>
    </rPh>
    <rPh sb="14" eb="16">
      <t>コベツ</t>
    </rPh>
    <rPh sb="16" eb="18">
      <t>ケイサン</t>
    </rPh>
    <rPh sb="20" eb="22">
      <t>ニュウリョク</t>
    </rPh>
    <phoneticPr fontId="21"/>
  </si>
  <si>
    <t>2) 個別用途入力</t>
    <rPh sb="3" eb="5">
      <t>コベツ</t>
    </rPh>
    <rPh sb="5" eb="7">
      <t>ヨウト</t>
    </rPh>
    <rPh sb="7" eb="9">
      <t>ニュウリョク</t>
    </rPh>
    <phoneticPr fontId="21"/>
  </si>
  <si>
    <t>①用途別延床面積　　</t>
    <rPh sb="1" eb="3">
      <t>ヨウト</t>
    </rPh>
    <rPh sb="3" eb="4">
      <t>ベツ</t>
    </rPh>
    <rPh sb="4" eb="5">
      <t>ノ</t>
    </rPh>
    <rPh sb="5" eb="6">
      <t>ユカ</t>
    </rPh>
    <rPh sb="6" eb="8">
      <t>メンセキ</t>
    </rPh>
    <phoneticPr fontId="21"/>
  </si>
  <si>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</si>
  <si>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</si>
  <si>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</si>
  <si>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</si>
  <si>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</si>
  <si>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</si>
  <si>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</si>
  <si>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1"/>
  </si>
  <si>
    <t>集会所</t>
    <rPh sb="2" eb="3">
      <t>ショ</t>
    </rPh>
    <phoneticPr fontId="21"/>
  </si>
  <si>
    <t xml:space="preserve"> 工場</t>
    <rPh sb="1" eb="3">
      <t>コウジョウ</t>
    </rPh>
    <phoneticPr fontId="21"/>
  </si>
  <si>
    <t>病院</t>
  </si>
  <si>
    <t xml:space="preserve"> 病院</t>
  </si>
  <si>
    <t>ホテル</t>
    <phoneticPr fontId="21"/>
  </si>
  <si>
    <t xml:space="preserve"> ホテル</t>
  </si>
  <si>
    <t>集合住宅</t>
  </si>
  <si>
    <t xml:space="preserve"> 集合住宅</t>
  </si>
  <si>
    <t>工場</t>
    <rPh sb="0" eb="2">
      <t>コウジョウ</t>
    </rPh>
    <phoneticPr fontId="21"/>
  </si>
  <si>
    <t>② 住居・宿泊部分の比率</t>
    <rPh sb="2" eb="4">
      <t>ジュウキョ</t>
    </rPh>
    <rPh sb="5" eb="7">
      <t>シュクハク</t>
    </rPh>
    <rPh sb="7" eb="9">
      <t>ブブン</t>
    </rPh>
    <rPh sb="10" eb="12">
      <t>ヒリツ</t>
    </rPh>
    <phoneticPr fontId="21"/>
  </si>
  <si>
    <t>合計</t>
    <rPh sb="0" eb="2">
      <t>ゴウケイ</t>
    </rPh>
    <phoneticPr fontId="21"/>
  </si>
  <si>
    <t>簡易版</t>
    <rPh sb="0" eb="3">
      <t>カンイバン</t>
    </rPh>
    <phoneticPr fontId="21"/>
  </si>
  <si>
    <t>バージョン</t>
    <phoneticPr fontId="21"/>
  </si>
  <si>
    <t>空気取り入れ口は敷地周囲の状況を勘案して、汚染源のない方位に設けられている。かつ、各種排気口と6ｍ以上離れて設置されている。</t>
  </si>
  <si>
    <t>共用部</t>
    <rPh sb="0" eb="3">
      <t>キョウヨウブ</t>
    </rPh>
    <phoneticPr fontId="21"/>
  </si>
  <si>
    <t>い（30㎡未満）</t>
    <rPh sb="5" eb="7">
      <t>ミマン</t>
    </rPh>
    <phoneticPr fontId="21"/>
  </si>
  <si>
    <t>ろ（30㎡以上、60㎡未満）</t>
    <rPh sb="5" eb="7">
      <t>イジョウ</t>
    </rPh>
    <rPh sb="11" eb="13">
      <t>ミマン</t>
    </rPh>
    <phoneticPr fontId="21"/>
  </si>
  <si>
    <t>事・学(大学等)・病・ホ・工・住</t>
    <rPh sb="4" eb="6">
      <t>ダイガク</t>
    </rPh>
    <rPh sb="6" eb="7">
      <t>トウ</t>
    </rPh>
    <rPh sb="15" eb="16">
      <t>ジュウ</t>
    </rPh>
    <phoneticPr fontId="21"/>
  </si>
  <si>
    <t>学（小中高）</t>
    <rPh sb="0" eb="1">
      <t>ガク</t>
    </rPh>
    <rPh sb="2" eb="3">
      <t>ショウ</t>
    </rPh>
    <rPh sb="3" eb="4">
      <t>チュウ</t>
    </rPh>
    <rPh sb="4" eb="5">
      <t>コウ</t>
    </rPh>
    <phoneticPr fontId="21"/>
  </si>
  <si>
    <t>何もない。</t>
  </si>
  <si>
    <t>建物全体・共用部分</t>
    <phoneticPr fontId="21"/>
  </si>
  <si>
    <t>学（小中高）</t>
    <rPh sb="0" eb="1">
      <t>ガク</t>
    </rPh>
    <rPh sb="2" eb="5">
      <t>ショウチュウコウ</t>
    </rPh>
    <phoneticPr fontId="21"/>
  </si>
  <si>
    <t>判定表</t>
    <rPh sb="0" eb="2">
      <t>ハンテイ</t>
    </rPh>
    <rPh sb="2" eb="3">
      <t>ヒョウ</t>
    </rPh>
    <phoneticPr fontId="21"/>
  </si>
  <si>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</si>
  <si>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</si>
  <si>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</si>
  <si>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</si>
  <si>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</si>
  <si>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</si>
  <si>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</si>
  <si>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事・病(診)・工</t>
    <rPh sb="4" eb="5">
      <t>ミ</t>
    </rPh>
    <rPh sb="7" eb="8">
      <t>コウ</t>
    </rPh>
    <phoneticPr fontId="21"/>
  </si>
  <si>
    <t>ホ・住</t>
    <rPh sb="2" eb="3">
      <t>ジュウ</t>
    </rPh>
    <phoneticPr fontId="21"/>
  </si>
  <si>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</si>
  <si>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1"/>
  </si>
  <si>
    <t>バックアップ設備のためのスペースが計画的に確保されている。</t>
  </si>
  <si>
    <t>生物環境の保全と創出</t>
    <rPh sb="2" eb="4">
      <t>カンキョウ</t>
    </rPh>
    <rPh sb="8" eb="10">
      <t>ソウシュツ</t>
    </rPh>
    <phoneticPr fontId="21"/>
  </si>
  <si>
    <t>事・学・物・飲・会・病・ホ・工・住</t>
    <rPh sb="0" eb="1">
      <t>コト</t>
    </rPh>
    <rPh sb="2" eb="3">
      <t>ガク</t>
    </rPh>
    <rPh sb="4" eb="5">
      <t>モノ</t>
    </rPh>
    <rPh sb="6" eb="7">
      <t>イン</t>
    </rPh>
    <rPh sb="8" eb="9">
      <t>カイ</t>
    </rPh>
    <rPh sb="10" eb="11">
      <t>ヤマイ</t>
    </rPh>
    <phoneticPr fontId="21"/>
  </si>
  <si>
    <t>対応可能な</t>
    <rPh sb="0" eb="2">
      <t>タイオウ</t>
    </rPh>
    <rPh sb="2" eb="3">
      <t>カ</t>
    </rPh>
    <rPh sb="3" eb="4">
      <t>ノウ</t>
    </rPh>
    <phoneticPr fontId="21"/>
  </si>
  <si>
    <t>事・病・ホ・工</t>
    <rPh sb="6" eb="7">
      <t>コウ</t>
    </rPh>
    <phoneticPr fontId="21"/>
  </si>
  <si>
    <t>物・飲・会</t>
    <rPh sb="0" eb="1">
      <t>ブツ</t>
    </rPh>
    <rPh sb="2" eb="3">
      <t>イン</t>
    </rPh>
    <rPh sb="4" eb="5">
      <t>カイ</t>
    </rPh>
    <phoneticPr fontId="21"/>
  </si>
  <si>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</si>
  <si>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</si>
  <si>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1"/>
  </si>
  <si>
    <t>⑦　外部ガラスや給排気口、照明など高所の維持管理作業を安全に行える設計をしている。</t>
    <phoneticPr fontId="21"/>
  </si>
  <si>
    <t>⑨　清掃時用の適度な照度の設定が可能である。</t>
    <phoneticPr fontId="21"/>
  </si>
  <si>
    <t>⑩　バルブ等の日常的に調整が必要な機器は、操作が容易な位置に設定されている。</t>
    <phoneticPr fontId="21"/>
  </si>
  <si>
    <t xml:space="preserve"> Q1 2.1</t>
  </si>
  <si>
    <t>室温設定</t>
  </si>
  <si>
    <t>2.1.2</t>
  </si>
  <si>
    <t>負荷変動・追従制御性</t>
  </si>
  <si>
    <t>2.1.3</t>
  </si>
  <si>
    <t>外皮性能</t>
  </si>
  <si>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より大幅注</t>
    </r>
    <r>
      <rPr>
        <vertAlign val="superscript"/>
        <sz val="9"/>
        <rFont val="ＭＳ Ｐゴシック"/>
        <family val="3"/>
        <charset val="128"/>
      </rPr>
      <t>*2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1"/>
  </si>
  <si>
    <t>-</t>
    <phoneticPr fontId="21"/>
  </si>
  <si>
    <t>-</t>
    <phoneticPr fontId="21"/>
  </si>
  <si>
    <t>■CO2データベース</t>
    <phoneticPr fontId="21"/>
  </si>
  <si>
    <t>レベル3</t>
    <phoneticPr fontId="21"/>
  </si>
  <si>
    <t>レベル4</t>
    <phoneticPr fontId="21"/>
  </si>
  <si>
    <t>レベル5</t>
    <phoneticPr fontId="21"/>
  </si>
  <si>
    <t>ホテル</t>
    <phoneticPr fontId="21"/>
  </si>
  <si>
    <t>kg-CO2/kWh）</t>
    <phoneticPr fontId="21"/>
  </si>
  <si>
    <t>人・時間あたり指標</t>
    <rPh sb="0" eb="1">
      <t>ニン</t>
    </rPh>
    <rPh sb="2" eb="4">
      <t>ジカン</t>
    </rPh>
    <rPh sb="7" eb="9">
      <t>シヒョウ</t>
    </rPh>
    <phoneticPr fontId="21"/>
  </si>
  <si>
    <t>レベル3</t>
    <phoneticPr fontId="21"/>
  </si>
  <si>
    <t>レベル4</t>
    <phoneticPr fontId="21"/>
  </si>
  <si>
    <t>レベル5</t>
    <phoneticPr fontId="21"/>
  </si>
  <si>
    <t>事務所</t>
    <phoneticPr fontId="21"/>
  </si>
  <si>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1"/>
  </si>
  <si>
    <t>バウンダリー</t>
    <phoneticPr fontId="21"/>
  </si>
  <si>
    <r>
      <t>ｍ</t>
    </r>
    <r>
      <rPr>
        <vertAlign val="superscript"/>
        <sz val="10"/>
        <rFont val="ＭＳ Ｐゴシック"/>
        <family val="3"/>
        <charset val="128"/>
      </rPr>
      <t>3</t>
    </r>
    <r>
      <rPr>
        <sz val="10"/>
        <rFont val="ＭＳ Ｐゴシック"/>
        <family val="3"/>
        <charset val="128"/>
      </rPr>
      <t>/㎡</t>
    </r>
    <phoneticPr fontId="21"/>
  </si>
  <si>
    <t>□　□</t>
    <phoneticPr fontId="21"/>
  </si>
  <si>
    <t>○○</t>
    <phoneticPr fontId="21"/>
  </si>
  <si>
    <t>kg/㎡</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</si>
  <si>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</si>
  <si>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r>
      <t>kg-CO</t>
    </r>
    <r>
      <rPr>
        <vertAlign val="superscript"/>
        <sz val="10"/>
        <rFont val="ＭＳ Ｐゴシック"/>
        <family val="3"/>
        <charset val="128"/>
      </rPr>
      <t>2</t>
    </r>
    <r>
      <rPr>
        <sz val="10"/>
        <rFont val="ＭＳ Ｐゴシック"/>
        <family val="3"/>
        <charset val="128"/>
      </rPr>
      <t>/kg</t>
    </r>
    <phoneticPr fontId="21"/>
  </si>
  <si>
    <r>
      <t>kg-CO</t>
    </r>
    <r>
      <rPr>
        <vertAlign val="superscript"/>
        <sz val="10"/>
        <rFont val="ＭＳ Ｐゴシック"/>
        <family val="3"/>
        <charset val="128"/>
      </rPr>
      <t>2</t>
    </r>
    <r>
      <rPr>
        <sz val="10"/>
        <rFont val="ＭＳ Ｐゴシック"/>
        <family val="3"/>
        <charset val="128"/>
      </rPr>
      <t>/kg</t>
    </r>
    <phoneticPr fontId="21"/>
  </si>
  <si>
    <r>
      <t>kg-CO</t>
    </r>
    <r>
      <rPr>
        <vertAlign val="superscript"/>
        <sz val="10"/>
        <rFont val="ＭＳ Ｐゴシック"/>
        <family val="3"/>
        <charset val="128"/>
      </rPr>
      <t>2</t>
    </r>
    <r>
      <rPr>
        <sz val="10"/>
        <rFont val="ＭＳ Ｐゴシック"/>
        <family val="3"/>
        <charset val="128"/>
      </rPr>
      <t>/m</t>
    </r>
    <r>
      <rPr>
        <vertAlign val="superscript"/>
        <sz val="10"/>
        <rFont val="ＭＳ Ｐゴシック"/>
        <family val="3"/>
        <charset val="128"/>
      </rPr>
      <t>2</t>
    </r>
    <phoneticPr fontId="21"/>
  </si>
  <si>
    <t>〃</t>
    <phoneticPr fontId="21"/>
  </si>
  <si>
    <t>修繕・更新・</t>
    <phoneticPr fontId="21"/>
  </si>
  <si>
    <t>解体段階</t>
    <phoneticPr fontId="21"/>
  </si>
  <si>
    <t>①参照値／
②建築物の取組み</t>
    <phoneticPr fontId="21"/>
  </si>
  <si>
    <t>③上記+②以外の
　オンサイト手法</t>
    <phoneticPr fontId="21"/>
  </si>
  <si>
    <t>－</t>
    <phoneticPr fontId="21"/>
  </si>
  <si>
    <t>kg-CO2/年㎡</t>
    <phoneticPr fontId="21"/>
  </si>
  <si>
    <t>kg-CO2/年㎡</t>
    <phoneticPr fontId="21"/>
  </si>
  <si>
    <t>kg-CO2/年㎡</t>
    <phoneticPr fontId="21"/>
  </si>
  <si>
    <t>－</t>
    <phoneticPr fontId="21"/>
  </si>
  <si>
    <t>④上記+
　オフサイト手法</t>
    <phoneticPr fontId="21"/>
  </si>
  <si>
    <t>kg-CO2/年㎡</t>
    <phoneticPr fontId="21"/>
  </si>
  <si>
    <t>(a)　グリーン電力証書によるカーボンオフセット</t>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</si>
  <si>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</si>
  <si>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</si>
  <si>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</si>
  <si>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■太陽光発電等エネルギー総量（③ｵﾝｻｲﾄの取組）</t>
    <rPh sb="1" eb="4">
      <t>ﾀｲﾖｳｺｳ</t>
    </rPh>
    <rPh sb="4" eb="6">
      <t>ﾊﾂﾃﾞﾝ</t>
    </rPh>
    <rPh sb="6" eb="7">
      <t>とう</t>
    </rPh>
    <rPh sb="12" eb="14">
      <t>ｿｳﾘｮｳ</t>
    </rPh>
    <rPh sb="22" eb="24">
      <t>とりくみ</t>
    </rPh>
    <phoneticPr fontId="34" type="noConversion"/>
  </si>
  <si>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1"/>
  </si>
  <si>
    <t>10年未満</t>
  </si>
  <si>
    <t>10年以上～20年未満</t>
  </si>
  <si>
    <t>20年</t>
  </si>
  <si>
    <t>冬期20℃以上 、夏期25℃以下の設定。</t>
    <rPh sb="5" eb="7">
      <t>イジョウ</t>
    </rPh>
    <rPh sb="14" eb="16">
      <t>イカ</t>
    </rPh>
    <phoneticPr fontId="21"/>
  </si>
  <si>
    <t>冬期22℃以上、夏期24℃以下の設定。</t>
    <rPh sb="5" eb="7">
      <t>イジョウ</t>
    </rPh>
    <rPh sb="13" eb="15">
      <t>イカ</t>
    </rPh>
    <phoneticPr fontId="21"/>
  </si>
  <si>
    <t>冬期20℃以上、夏期25℃以下の室温を実現するための設備容量が確保されている。</t>
    <rPh sb="5" eb="7">
      <t>イジョウ</t>
    </rPh>
    <rPh sb="13" eb="15">
      <t>イカ</t>
    </rPh>
    <phoneticPr fontId="21"/>
  </si>
  <si>
    <t>冬期22℃、夏期24℃の室温を実現することが可能な設備容量が確保されている。</t>
    <phoneticPr fontId="21"/>
  </si>
  <si>
    <t>冬期22℃以上、夏期24℃以下の室温を実現することが可能な設備容量が確保されている。</t>
    <rPh sb="5" eb="7">
      <t>イジョウ</t>
    </rPh>
    <rPh sb="13" eb="15">
      <t>イカ</t>
    </rPh>
    <phoneticPr fontId="21"/>
  </si>
  <si>
    <t>ASHRAE快適域やPOEM-Oを参考に冬期20℃～22℃、夏期24℃～26℃の範囲を設定している。</t>
    <phoneticPr fontId="21"/>
  </si>
  <si>
    <r>
      <t>LR2</t>
    </r>
    <r>
      <rPr>
        <b/>
        <sz val="12"/>
        <rFont val="ＭＳ Ｐゴシック"/>
        <family val="3"/>
        <charset val="128"/>
      </rPr>
      <t>　資源・マテリアル</t>
    </r>
    <rPh sb="4" eb="6">
      <t>シゲン</t>
    </rPh>
    <phoneticPr fontId="21"/>
  </si>
  <si>
    <t>水資源保護</t>
    <rPh sb="0" eb="1">
      <t>ミズ</t>
    </rPh>
    <rPh sb="1" eb="3">
      <t>シゲン</t>
    </rPh>
    <rPh sb="3" eb="5">
      <t>ホゴ</t>
    </rPh>
    <phoneticPr fontId="21"/>
  </si>
  <si>
    <t>事・学・物・飲・会・病・ホ･工・住</t>
    <rPh sb="0" eb="1">
      <t>コト</t>
    </rPh>
    <rPh sb="2" eb="3">
      <t>ガク</t>
    </rPh>
    <rPh sb="4" eb="5">
      <t>モノ</t>
    </rPh>
    <rPh sb="6" eb="7">
      <t>イン</t>
    </rPh>
    <rPh sb="8" eb="9">
      <t>カイ</t>
    </rPh>
    <rPh sb="10" eb="11">
      <t>ヤマイ</t>
    </rPh>
    <rPh sb="16" eb="17">
      <t>ジュウ</t>
    </rPh>
    <phoneticPr fontId="21"/>
  </si>
  <si>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</si>
  <si>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2" type="noConversion"/>
  </si>
  <si>
    <r>
      <t xml:space="preserve">1.2.2 </t>
    </r>
    <r>
      <rPr>
        <b/>
        <sz val="10"/>
        <rFont val="ＭＳ Ｐゴシック"/>
        <family val="3"/>
        <charset val="128"/>
      </rPr>
      <t>雑排水等利用システム導入の有無</t>
    </r>
    <rPh sb="9" eb="10">
      <t>トウ</t>
    </rPh>
    <rPh sb="11" eb="12">
      <t>ヨウ</t>
    </rPh>
    <phoneticPr fontId="21"/>
  </si>
  <si>
    <t>小中高は既存も新築の基準</t>
    <rPh sb="0" eb="3">
      <t>ショウチュウコウ</t>
    </rPh>
    <rPh sb="4" eb="6">
      <t>キソン</t>
    </rPh>
    <rPh sb="7" eb="9">
      <t>シンチク</t>
    </rPh>
    <rPh sb="10" eb="12">
      <t>キジュン</t>
    </rPh>
    <phoneticPr fontId="21"/>
  </si>
  <si>
    <t>学校施設として標準的な取り組みをしている</t>
    <rPh sb="0" eb="2">
      <t>ガッコウ</t>
    </rPh>
    <rPh sb="2" eb="4">
      <t>シセツ</t>
    </rPh>
    <rPh sb="7" eb="10">
      <t>ヒョウジュンテキ</t>
    </rPh>
    <rPh sb="11" eb="12">
      <t>ト</t>
    </rPh>
    <rPh sb="13" eb="14">
      <t>ク</t>
    </rPh>
    <phoneticPr fontId="21"/>
  </si>
  <si>
    <t>主要構造部が非木造躯体（RC造/SRC造/S造）である場合で、評価する取組み表の評価ポイントの合計値が3ポイント以上</t>
    <rPh sb="56" eb="58">
      <t>イジョウ</t>
    </rPh>
    <phoneticPr fontId="21"/>
  </si>
  <si>
    <t>主要構造部が非木造躯体（RC造/SRC造/S造）である場合で、評価する取組み表の評価ポイントの合計値が5ポイント以上</t>
    <rPh sb="56" eb="58">
      <t>イジョウ</t>
    </rPh>
    <phoneticPr fontId="21"/>
  </si>
  <si>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1"/>
  </si>
  <si>
    <t>Fc=36以上60未満　かつF=390以上</t>
    <rPh sb="19" eb="21">
      <t>イジョウ</t>
    </rPh>
    <phoneticPr fontId="21"/>
  </si>
  <si>
    <t>F=325以上　355未満</t>
    <rPh sb="11" eb="13">
      <t>ミマン</t>
    </rPh>
    <phoneticPr fontId="21"/>
  </si>
  <si>
    <t>主要構造躯体の鉄骨の基準強度F&gt;単位:N/mm2</t>
    <rPh sb="10" eb="12">
      <t>キジュン</t>
    </rPh>
    <phoneticPr fontId="21"/>
  </si>
  <si>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</si>
  <si>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</si>
  <si>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1"/>
  </si>
  <si>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</si>
  <si>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1"/>
  </si>
  <si>
    <t>リサイクル資材の種類と採用した部位（30字以内）</t>
    <rPh sb="5" eb="7">
      <t>シザイ</t>
    </rPh>
    <rPh sb="8" eb="10">
      <t>シュルイ</t>
    </rPh>
    <rPh sb="11" eb="13">
      <t>サイヨウ</t>
    </rPh>
    <rPh sb="15" eb="17">
      <t>ブイ</t>
    </rPh>
    <rPh sb="20" eb="21">
      <t>ジ</t>
    </rPh>
    <rPh sb="21" eb="23">
      <t>イナイ</t>
    </rPh>
    <phoneticPr fontId="21"/>
  </si>
  <si>
    <t>リサイクル資材の例</t>
    <rPh sb="5" eb="7">
      <t>シザイ</t>
    </rPh>
    <rPh sb="8" eb="9">
      <t>レイ</t>
    </rPh>
    <phoneticPr fontId="21"/>
  </si>
  <si>
    <t>品目名</t>
    <rPh sb="0" eb="2">
      <t>ヒンモク</t>
    </rPh>
    <rPh sb="2" eb="3">
      <t>メイ</t>
    </rPh>
    <phoneticPr fontId="21"/>
  </si>
  <si>
    <t>①グリーン調達品目（公共工事）</t>
    <rPh sb="5" eb="7">
      <t>チョウタツ</t>
    </rPh>
    <rPh sb="7" eb="9">
      <t>ヒンモク</t>
    </rPh>
    <rPh sb="10" eb="12">
      <t>コウキョウ</t>
    </rPh>
    <rPh sb="12" eb="14">
      <t>コウジ</t>
    </rPh>
    <phoneticPr fontId="21"/>
  </si>
  <si>
    <t>高炉スラグ骨材</t>
    <rPh sb="0" eb="2">
      <t>コウロ</t>
    </rPh>
    <rPh sb="5" eb="7">
      <t>コツザイ</t>
    </rPh>
    <phoneticPr fontId="21"/>
  </si>
  <si>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1"/>
  </si>
  <si>
    <t>5) 安全対策</t>
    <rPh sb="3" eb="5">
      <t>アンゼン</t>
    </rPh>
    <rPh sb="5" eb="7">
      <t>タイサク</t>
    </rPh>
    <phoneticPr fontId="21"/>
  </si>
  <si>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1"/>
  </si>
  <si>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</si>
  <si>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</si>
  <si>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</si>
  <si>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</si>
  <si>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</si>
  <si>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1"/>
  </si>
  <si>
    <t>①換気設備の重要度に応じて系統を区分し，災害時においては重要度の高い系統を優先的に運転するほか，負荷容量を下げた運転も可能となるよう検討している。</t>
    <phoneticPr fontId="21"/>
  </si>
  <si>
    <t>②熱源種（電気，ガスなど）の分散化，二重化，バックアップを行っている。</t>
    <phoneticPr fontId="21"/>
  </si>
  <si>
    <t>③地震時の部分的被害が全体機能の停止を引き起こさないような対策（吊配管など）を行っている。</t>
    <phoneticPr fontId="21"/>
  </si>
  <si>
    <t>④空調設備の重要度に応じて系統を区分し，災害時においては重要度の高い系統を優先的に運転するほか，負荷容量を下げた運転も可能となるよう計画している。</t>
    <phoneticPr fontId="21"/>
  </si>
  <si>
    <r>
      <t xml:space="preserve">2.4.2 </t>
    </r>
    <r>
      <rPr>
        <b/>
        <sz val="10"/>
        <rFont val="ＭＳ Ｐゴシック"/>
        <family val="3"/>
        <charset val="128"/>
      </rPr>
      <t>給排水・衛生設備</t>
    </r>
    <phoneticPr fontId="21"/>
  </si>
  <si>
    <t>事・学・会・病・ホ・工・住</t>
    <phoneticPr fontId="21"/>
  </si>
  <si>
    <t>物・飲</t>
    <phoneticPr fontId="21"/>
  </si>
  <si>
    <t>評価する取組みが1つ。</t>
    <phoneticPr fontId="21"/>
  </si>
  <si>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1"/>
  </si>
  <si>
    <t>②可能な限り配管の系統を区分し，災害時の使用不能部分の低減を図っている。</t>
    <phoneticPr fontId="21"/>
  </si>
  <si>
    <t>③災害時、下水道が機能しないことを想定し、汚水（雑排水）の一時的貯留機能が確保できるピットを設けている。</t>
    <phoneticPr fontId="21"/>
  </si>
  <si>
    <t>④受水槽，高架水槽は，二基の水槽をそれぞれに分離して設置している。</t>
    <phoneticPr fontId="21"/>
  </si>
  <si>
    <t>⑤井水，中水などの利用が可能なように計画している。</t>
    <phoneticPr fontId="21"/>
  </si>
  <si>
    <t>②無停電電源設備を備えている。</t>
    <phoneticPr fontId="21"/>
  </si>
  <si>
    <r>
      <t xml:space="preserve">2.4.4 </t>
    </r>
    <r>
      <rPr>
        <b/>
        <sz val="10"/>
        <rFont val="ＭＳ Ｐゴシック"/>
        <family val="3"/>
        <charset val="128"/>
      </rPr>
      <t>機械・配管支持方法</t>
    </r>
    <phoneticPr fontId="21"/>
  </si>
  <si>
    <r>
      <t xml:space="preserve">2.4.5 </t>
    </r>
    <r>
      <rPr>
        <b/>
        <sz val="10"/>
        <rFont val="ＭＳ Ｐゴシック"/>
        <family val="3"/>
        <charset val="128"/>
      </rPr>
      <t>通信・情報設備</t>
    </r>
    <phoneticPr fontId="21"/>
  </si>
  <si>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1"/>
  </si>
  <si>
    <t>ＰＩＤ制御による温度・室内湿度になっている。</t>
    <phoneticPr fontId="21"/>
  </si>
  <si>
    <t>快適センサーなどによる温度・湿度制御（快適範囲における温度制御）が可能である。</t>
    <phoneticPr fontId="21"/>
  </si>
  <si>
    <t>住居・宿泊部分</t>
    <phoneticPr fontId="21"/>
  </si>
  <si>
    <t>竣工年</t>
    <rPh sb="0" eb="2">
      <t>ｼｭﾝｺｳ</t>
    </rPh>
    <rPh sb="2" eb="3">
      <t>ﾈﾝ</t>
    </rPh>
    <phoneticPr fontId="34" type="noConversion"/>
  </si>
  <si>
    <t>評価の実施日</t>
    <rPh sb="0" eb="2">
      <t>ヒョウカ</t>
    </rPh>
    <rPh sb="3" eb="6">
      <t>ジッシビ</t>
    </rPh>
    <phoneticPr fontId="21"/>
  </si>
  <si>
    <t>敷地面積</t>
    <rPh sb="0" eb="2">
      <t>ｼｷﾁ</t>
    </rPh>
    <rPh sb="2" eb="4">
      <t>ﾒﾝｾｷ</t>
    </rPh>
    <phoneticPr fontId="34" type="noConversion"/>
  </si>
  <si>
    <t>作成者</t>
    <rPh sb="0" eb="3">
      <t>サクセイシャ</t>
    </rPh>
    <phoneticPr fontId="21"/>
  </si>
  <si>
    <r>
      <t>Q1</t>
    </r>
    <r>
      <rPr>
        <sz val="11"/>
        <rFont val="ＭＳ Ｐゴシック"/>
        <family val="3"/>
        <charset val="128"/>
      </rPr>
      <t>　
室内環境</t>
    </r>
    <rPh sb="4" eb="6">
      <t>シツナイ</t>
    </rPh>
    <rPh sb="6" eb="8">
      <t>カンキョウ</t>
    </rPh>
    <phoneticPr fontId="21"/>
  </si>
  <si>
    <t>建築面積</t>
    <rPh sb="0" eb="2">
      <t>ｹﾝﾁｸ</t>
    </rPh>
    <rPh sb="2" eb="4">
      <t>ﾒﾝｾｷ</t>
    </rPh>
    <phoneticPr fontId="34" type="noConversion"/>
  </si>
  <si>
    <t>確認日</t>
    <rPh sb="0" eb="2">
      <t>カクニン</t>
    </rPh>
    <rPh sb="2" eb="3">
      <t>ビ</t>
    </rPh>
    <phoneticPr fontId="21"/>
  </si>
  <si>
    <t>Rank(red star)</t>
    <phoneticPr fontId="21"/>
  </si>
  <si>
    <t>延床面積</t>
    <rPh sb="0" eb="1">
      <t>ﾉ</t>
    </rPh>
    <rPh sb="1" eb="4">
      <t>ﾕｶﾒﾝｾｷ</t>
    </rPh>
    <phoneticPr fontId="34" type="noConversion"/>
  </si>
  <si>
    <t>確認者</t>
    <rPh sb="0" eb="2">
      <t>カクニン</t>
    </rPh>
    <rPh sb="2" eb="3">
      <t>シャ</t>
    </rPh>
    <phoneticPr fontId="21"/>
  </si>
  <si>
    <t>(blank star)</t>
    <phoneticPr fontId="21"/>
  </si>
  <si>
    <t>改修工事期間</t>
  </si>
  <si>
    <t>改修対象項目</t>
  </si>
  <si>
    <t>躯体</t>
  </si>
  <si>
    <t>改修目的</t>
  </si>
  <si>
    <t>外装</t>
  </si>
  <si>
    <t>改修後の想定使用年数</t>
    <rPh sb="6" eb="8">
      <t>シヨウ</t>
    </rPh>
    <phoneticPr fontId="21"/>
  </si>
  <si>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</si>
  <si>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</si>
  <si>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</si>
  <si>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4"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</si>
  <si>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1"/>
  </si>
  <si>
    <r>
      <t>2-3</t>
    </r>
    <r>
      <rPr>
        <b/>
        <sz val="12"/>
        <color indexed="9"/>
        <rFont val="ＭＳ Ｐゴシック"/>
        <family val="3"/>
        <charset val="128"/>
      </rPr>
      <t>　大項目の評価（ﾚｰﾀﾞｰﾁｬｰﾄ）</t>
    </r>
    <rPh sb="4" eb="7">
      <t>ダイコウモク</t>
    </rPh>
    <rPh sb="8" eb="10">
      <t>ヒョウカ</t>
    </rPh>
    <phoneticPr fontId="21"/>
  </si>
  <si>
    <t>基準</t>
    <rPh sb="0" eb="2">
      <t>キジュン</t>
    </rPh>
    <phoneticPr fontId="21"/>
  </si>
  <si>
    <t>評価</t>
    <rPh sb="0" eb="2">
      <t>ヒョウカ</t>
    </rPh>
    <phoneticPr fontId="21"/>
  </si>
  <si>
    <t>原点</t>
    <rPh sb="0" eb="2">
      <t>ゲンテン</t>
    </rPh>
    <phoneticPr fontId="21"/>
  </si>
  <si>
    <r>
      <t>BEE</t>
    </r>
    <r>
      <rPr>
        <sz val="11"/>
        <rFont val="ＭＳ Ｐゴシック"/>
        <family val="3"/>
        <charset val="128"/>
      </rPr>
      <t>の分母側</t>
    </r>
    <r>
      <rPr>
        <sz val="11"/>
        <rFont val="Arial"/>
        <family val="2"/>
      </rPr>
      <t>(L)</t>
    </r>
    <rPh sb="4" eb="6">
      <t>ブンボ</t>
    </rPh>
    <rPh sb="6" eb="7">
      <t>ガワ</t>
    </rPh>
    <phoneticPr fontId="21"/>
  </si>
  <si>
    <t>X目盛線</t>
    <rPh sb="1" eb="3">
      <t>メモ</t>
    </rPh>
    <rPh sb="3" eb="4">
      <t>セン</t>
    </rPh>
    <phoneticPr fontId="21"/>
  </si>
  <si>
    <t>Y目盛線</t>
    <rPh sb="1" eb="3">
      <t>メモ</t>
    </rPh>
    <rPh sb="3" eb="4">
      <t>セン</t>
    </rPh>
    <phoneticPr fontId="21"/>
  </si>
  <si>
    <r>
      <t>BEE</t>
    </r>
    <r>
      <rPr>
        <sz val="11"/>
        <rFont val="ＭＳ Ｐゴシック"/>
        <family val="3"/>
        <charset val="128"/>
      </rPr>
      <t>の分子側</t>
    </r>
    <r>
      <rPr>
        <sz val="11"/>
        <rFont val="Arial"/>
        <family val="2"/>
      </rPr>
      <t>(Q)</t>
    </r>
    <rPh sb="4" eb="6">
      <t>ブンシ</t>
    </rPh>
    <rPh sb="6" eb="7">
      <t>ガワ</t>
    </rPh>
    <phoneticPr fontId="21"/>
  </si>
  <si>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1"/>
  </si>
  <si>
    <t>椅子の移動音、物の落下音がかなり気になる。</t>
    <phoneticPr fontId="21"/>
  </si>
  <si>
    <t>椅子の移動音、物の落下音が小さく聞こえる。　</t>
    <phoneticPr fontId="21"/>
  </si>
  <si>
    <t>椅子の移動音、物の落下音が小さく聞こえる。</t>
    <phoneticPr fontId="21"/>
  </si>
  <si>
    <t>椅子の移動音、物の落下音がほとんど聞こえない。</t>
    <phoneticPr fontId="21"/>
  </si>
  <si>
    <t>Lr-65より悪い</t>
    <phoneticPr fontId="21"/>
  </si>
  <si>
    <t>Lr-55より悪い</t>
    <phoneticPr fontId="21"/>
  </si>
  <si>
    <t>Lr-65</t>
    <phoneticPr fontId="21"/>
  </si>
  <si>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1"/>
  </si>
  <si>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1"/>
  </si>
  <si>
    <t>同左</t>
    <rPh sb="0" eb="2">
      <t>ドウサ</t>
    </rPh>
    <phoneticPr fontId="21"/>
  </si>
  <si>
    <t>運用
段階</t>
    <rPh sb="0" eb="2">
      <t>ウンヨウ</t>
    </rPh>
    <rPh sb="3" eb="5">
      <t>ダンカイ</t>
    </rPh>
    <phoneticPr fontId="21"/>
  </si>
  <si>
    <t>参考</t>
    <rPh sb="0" eb="2">
      <t>サンコウ</t>
    </rPh>
    <phoneticPr fontId="21"/>
  </si>
  <si>
    <t>共用部分</t>
    <rPh sb="0" eb="2">
      <t>キョウヨウ</t>
    </rPh>
    <rPh sb="2" eb="4">
      <t>ブブン</t>
    </rPh>
    <phoneticPr fontId="21"/>
  </si>
  <si>
    <t>非住宅部</t>
    <rPh sb="0" eb="1">
      <t>ヒ</t>
    </rPh>
    <rPh sb="1" eb="3">
      <t>ジュウタク</t>
    </rPh>
    <rPh sb="3" eb="4">
      <t>ブ</t>
    </rPh>
    <phoneticPr fontId="21"/>
  </si>
  <si>
    <t>建物の外皮性能</t>
    <rPh sb="0" eb="2">
      <t>タテモノ</t>
    </rPh>
    <rPh sb="3" eb="5">
      <t>ガイヒ</t>
    </rPh>
    <rPh sb="5" eb="7">
      <t>セイノウ</t>
    </rPh>
    <phoneticPr fontId="21"/>
  </si>
  <si>
    <t>非住宅用途</t>
    <rPh sb="0" eb="1">
      <t>ヒ</t>
    </rPh>
    <rPh sb="1" eb="3">
      <t>ジュウタク</t>
    </rPh>
    <rPh sb="3" eb="5">
      <t>ヨウト</t>
    </rPh>
    <phoneticPr fontId="21"/>
  </si>
  <si>
    <t>住宅用途</t>
    <rPh sb="0" eb="2">
      <t>ジュウタク</t>
    </rPh>
    <rPh sb="2" eb="4">
      <t>ヨウト</t>
    </rPh>
    <phoneticPr fontId="21"/>
  </si>
  <si>
    <t>品確法</t>
    <rPh sb="0" eb="3">
      <t>ヒンカクホウ</t>
    </rPh>
    <phoneticPr fontId="21"/>
  </si>
  <si>
    <t>建物の一次エネルギー消費量</t>
    <rPh sb="0" eb="2">
      <t>タテモノ</t>
    </rPh>
    <rPh sb="3" eb="5">
      <t>イチジ</t>
    </rPh>
    <rPh sb="10" eb="13">
      <t>ショウヒリョウ</t>
    </rPh>
    <phoneticPr fontId="21"/>
  </si>
  <si>
    <t>GJ/年</t>
    <rPh sb="3" eb="4">
      <t>ネン</t>
    </rPh>
    <phoneticPr fontId="21"/>
  </si>
  <si>
    <t>LR1/3.設備システムの高効率化</t>
    <rPh sb="6" eb="8">
      <t>セツビ</t>
    </rPh>
    <rPh sb="13" eb="17">
      <t>コウコウリツカ</t>
    </rPh>
    <phoneticPr fontId="21"/>
  </si>
  <si>
    <t>自然エネルギー削減量</t>
    <rPh sb="0" eb="2">
      <t>シゼン</t>
    </rPh>
    <rPh sb="7" eb="9">
      <t>サクゲン</t>
    </rPh>
    <rPh sb="9" eb="10">
      <t>リョウ</t>
    </rPh>
    <phoneticPr fontId="21"/>
  </si>
  <si>
    <t>統計値　MJ/年㎡</t>
    <rPh sb="0" eb="2">
      <t>トウケイ</t>
    </rPh>
    <rPh sb="2" eb="3">
      <t>チ</t>
    </rPh>
    <rPh sb="7" eb="8">
      <t>ネン</t>
    </rPh>
    <phoneticPr fontId="21"/>
  </si>
  <si>
    <t>低減率</t>
    <rPh sb="0" eb="2">
      <t>テイゲン</t>
    </rPh>
    <rPh sb="2" eb="3">
      <t>リツ</t>
    </rPh>
    <phoneticPr fontId="21"/>
  </si>
  <si>
    <t>LR1/4.　効率的な運用</t>
    <rPh sb="7" eb="10">
      <t>コウリツテキ</t>
    </rPh>
    <rPh sb="11" eb="13">
      <t>ウンヨウ</t>
    </rPh>
    <phoneticPr fontId="21"/>
  </si>
  <si>
    <t>住宅部</t>
    <rPh sb="0" eb="2">
      <t>ジュウタク</t>
    </rPh>
    <rPh sb="2" eb="3">
      <t>ブ</t>
    </rPh>
    <phoneticPr fontId="21"/>
  </si>
  <si>
    <t>■基準一次エネルギー消費量</t>
    <rPh sb="1" eb="3">
      <t>ｷｼﾞｭﾝ</t>
    </rPh>
    <rPh sb="3" eb="5">
      <t>ｲﾁｼﾞ</t>
    </rPh>
    <rPh sb="10" eb="13">
      <t>ｼｮｳﾋﾘｮｳ</t>
    </rPh>
    <phoneticPr fontId="34" type="noConversion"/>
  </si>
  <si>
    <t>■設計一次エネルギー消費量(1)</t>
    <rPh sb="1" eb="3">
      <t>ｾｯｹｲ</t>
    </rPh>
    <rPh sb="3" eb="5">
      <t>ｲﾁｼﾞ</t>
    </rPh>
    <rPh sb="10" eb="13">
      <t>ｼｮｳﾋﾘｮｳ</t>
    </rPh>
    <phoneticPr fontId="34" type="noConversion"/>
  </si>
  <si>
    <t>一次エネルギー消費量</t>
    <rPh sb="0" eb="2">
      <t>イチジ</t>
    </rPh>
    <rPh sb="7" eb="10">
      <t>ショウヒリョウ</t>
    </rPh>
    <phoneticPr fontId="23"/>
  </si>
  <si>
    <t>用途別面積</t>
    <rPh sb="0" eb="2">
      <t>ヨウト</t>
    </rPh>
    <rPh sb="2" eb="3">
      <t>ベツ</t>
    </rPh>
    <rPh sb="3" eb="5">
      <t>メンセキ</t>
    </rPh>
    <phoneticPr fontId="23"/>
  </si>
  <si>
    <t>適切な換気機能を有し、熱橋となる部分の断熱補強、防湿層、通気層の設置等の結露防止対策がとられている。</t>
    <phoneticPr fontId="21"/>
  </si>
  <si>
    <t>除湿機能を有し、熱橋となる部分の断熱補強、防湿層、通気層の設置等の結露防止対策がとられている。</t>
    <phoneticPr fontId="21"/>
  </si>
  <si>
    <t>加湿機能・除湿機能を有し、かつ45％～55％の範囲の湿度を実現することが可能な設備容量が確保されている。</t>
    <phoneticPr fontId="21"/>
  </si>
  <si>
    <t>3）空間提供による地域貢献</t>
    <phoneticPr fontId="21"/>
  </si>
  <si>
    <t>アルコーブ・ピロティ・庇などの空間を設けるなどの建築的な工夫を取入れて、雨宿り、待合わせに供する等、都市空間の活動上のアメニティ向上に貢献している。
または、</t>
    <phoneticPr fontId="21"/>
  </si>
  <si>
    <t>広場や歩道状空地、路地などのスペースを確保し、憩いの場に供するなど地域の活動上のアメニティ向上に貢献している。</t>
    <phoneticPr fontId="21"/>
  </si>
  <si>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1"/>
  </si>
  <si>
    <t>例えば、環境教育を地域住民・NPO・企業と連携して行えるような地域に開放できる室があり、地域の生態系、環境の保全、エコスクール等について学習できる場として貢献している</t>
    <phoneticPr fontId="21"/>
  </si>
  <si>
    <t>III 建物内外を連関させる豊かな中間
領域の形成</t>
    <phoneticPr fontId="21"/>
  </si>
  <si>
    <t>5）建物内外を連関させる豊かな中間領域の形成</t>
    <phoneticPr fontId="21"/>
  </si>
  <si>
    <t>地球温暖化への配慮</t>
    <rPh sb="0" eb="2">
      <t>ﾁｷｭｳ</t>
    </rPh>
    <rPh sb="2" eb="5">
      <t>ｵﾝﾀﾞﾝｶ</t>
    </rPh>
    <rPh sb="7" eb="9">
      <t>ﾊｲﾘｮ</t>
    </rPh>
    <phoneticPr fontId="34" type="noConversion"/>
  </si>
  <si>
    <t>地域環境への配慮</t>
    <rPh sb="0" eb="2">
      <t>ﾁｲｷ</t>
    </rPh>
    <rPh sb="2" eb="4">
      <t>ｶﾝｷｮｳ</t>
    </rPh>
    <rPh sb="6" eb="8">
      <t>ﾊｲﾘｮ</t>
    </rPh>
    <phoneticPr fontId="34" type="noConversion"/>
  </si>
  <si>
    <t>大気汚染防止</t>
    <rPh sb="0" eb="2">
      <t>ﾀｲｷ</t>
    </rPh>
    <rPh sb="2" eb="4">
      <t>ｵｾﾝ</t>
    </rPh>
    <rPh sb="4" eb="6">
      <t>ﾎﾞｳｼ</t>
    </rPh>
    <phoneticPr fontId="34" type="noConversion"/>
  </si>
  <si>
    <t>地域インフラへの負荷抑制</t>
    <rPh sb="0" eb="2">
      <t>チイキ</t>
    </rPh>
    <rPh sb="8" eb="10">
      <t>フカ</t>
    </rPh>
    <rPh sb="10" eb="12">
      <t>ヨクセイ</t>
    </rPh>
    <phoneticPr fontId="21"/>
  </si>
  <si>
    <t>交通負荷抑制</t>
    <rPh sb="0" eb="2">
      <t>ｺｳﾂｳ</t>
    </rPh>
    <rPh sb="2" eb="4">
      <t>ﾌｶ</t>
    </rPh>
    <rPh sb="4" eb="6">
      <t>ﾖｸｾｲ</t>
    </rPh>
    <phoneticPr fontId="34" type="noConversion"/>
  </si>
  <si>
    <t>駐車場等</t>
    <rPh sb="0" eb="3">
      <t>チュウシャジョウ</t>
    </rPh>
    <rPh sb="3" eb="4">
      <t>トウ</t>
    </rPh>
    <phoneticPr fontId="21"/>
  </si>
  <si>
    <t>○○ビル</t>
    <phoneticPr fontId="21"/>
  </si>
  <si>
    <t>XXX</t>
    <phoneticPr fontId="21"/>
  </si>
  <si>
    <t>㎡</t>
    <phoneticPr fontId="21"/>
  </si>
  <si>
    <t>XXX</t>
    <phoneticPr fontId="21"/>
  </si>
  <si>
    <t>㎡</t>
    <phoneticPr fontId="21"/>
  </si>
  <si>
    <t>○○</t>
    <phoneticPr fontId="21"/>
  </si>
  <si>
    <t>XX</t>
    <phoneticPr fontId="21"/>
  </si>
  <si>
    <t>XXX</t>
    <phoneticPr fontId="21"/>
  </si>
  <si>
    <r>
      <t>c</t>
    </r>
    <r>
      <rPr>
        <sz val="11"/>
        <rFont val="ＭＳ Ｐゴシック"/>
        <family val="3"/>
        <charset val="128"/>
      </rPr>
      <t>ommon</t>
    </r>
    <phoneticPr fontId="21"/>
  </si>
  <si>
    <t>Residential</t>
    <phoneticPr fontId="21"/>
  </si>
  <si>
    <t xml:space="preserve"> 事務所</t>
    <phoneticPr fontId="21"/>
  </si>
  <si>
    <t>㎡</t>
    <phoneticPr fontId="21"/>
  </si>
  <si>
    <t>ホテル</t>
    <phoneticPr fontId="21"/>
  </si>
  <si>
    <t xml:space="preserve"> 集合住宅（戸建は対象外）</t>
    <phoneticPr fontId="21"/>
  </si>
  <si>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1"/>
  </si>
  <si>
    <t>排水の施設・設備</t>
    <rPh sb="0" eb="2">
      <t>ハイスイ</t>
    </rPh>
    <rPh sb="3" eb="5">
      <t>シセツ</t>
    </rPh>
    <rPh sb="6" eb="8">
      <t>セツビ</t>
    </rPh>
    <phoneticPr fontId="21"/>
  </si>
  <si>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1"/>
  </si>
  <si>
    <t>木　材</t>
  </si>
  <si>
    <t>＜参考＞　個別計算にあたって、利用できる計算値</t>
    <rPh sb="1" eb="3">
      <t>サンコウ</t>
    </rPh>
    <rPh sb="5" eb="7">
      <t>コベツ</t>
    </rPh>
    <rPh sb="7" eb="9">
      <t>ケイサン</t>
    </rPh>
    <rPh sb="15" eb="17">
      <t>リヨウ</t>
    </rPh>
    <rPh sb="20" eb="23">
      <t>ケイサンチ</t>
    </rPh>
    <phoneticPr fontId="21"/>
  </si>
  <si>
    <t>やや高度な対策を行っている（評価する取組みにおいて3項目以上を採用）</t>
    <phoneticPr fontId="21"/>
  </si>
  <si>
    <t>.建物全体・共用部分</t>
    <phoneticPr fontId="21"/>
  </si>
  <si>
    <t>住居・宿泊部分</t>
    <phoneticPr fontId="21"/>
  </si>
  <si>
    <t>設備騒音の種類</t>
    <phoneticPr fontId="21"/>
  </si>
  <si>
    <t>対策例</t>
    <phoneticPr fontId="21"/>
  </si>
  <si>
    <t>防音カバー、機械室の吸音・遮音、位置など</t>
    <phoneticPr fontId="21"/>
  </si>
  <si>
    <t>設備騒音の種類</t>
    <phoneticPr fontId="21"/>
  </si>
  <si>
    <t>対策例</t>
    <phoneticPr fontId="21"/>
  </si>
  <si>
    <t>（屋外）冷却塔、室外機等からの騒音</t>
    <phoneticPr fontId="21"/>
  </si>
  <si>
    <t>通信機関係等</t>
    <phoneticPr fontId="21"/>
  </si>
  <si>
    <t>通信機械室、無線機室、電話交換室、磁気ﾃﾞｨｽｸ室､電算機室、ﾃﾚｯｸｽ室、電話局切換室、通信機調整室、ﾃﾞｰﾀﾌﾟﾘﾝﾄ室</t>
    <phoneticPr fontId="21"/>
  </si>
  <si>
    <t>放送室等</t>
    <phoneticPr fontId="21"/>
  </si>
  <si>
    <t>制御室等</t>
    <phoneticPr fontId="21"/>
  </si>
  <si>
    <t>フィルム等保管庫</t>
    <phoneticPr fontId="21"/>
  </si>
  <si>
    <t>危険物施設の計器室等</t>
    <phoneticPr fontId="21"/>
  </si>
  <si>
    <t>⑦　床材に応じた清掃器具を想定し、それに合わせた数量、設置間隔で清掃作業用電源レイアウトの設計をしている。</t>
    <rPh sb="37" eb="39">
      <t>デンゲン</t>
    </rPh>
    <phoneticPr fontId="21"/>
  </si>
  <si>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1"/>
  </si>
  <si>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1"/>
  </si>
  <si>
    <t>学校版</t>
    <rPh sb="0" eb="2">
      <t>ガッコウ</t>
    </rPh>
    <rPh sb="2" eb="3">
      <t>バン</t>
    </rPh>
    <phoneticPr fontId="21"/>
  </si>
  <si>
    <t>大掃除の実施</t>
    <rPh sb="0" eb="3">
      <t>オオソウジ</t>
    </rPh>
    <rPh sb="4" eb="6">
      <t>ジッシ</t>
    </rPh>
    <phoneticPr fontId="21"/>
  </si>
  <si>
    <t>大掃除は、定期に行われていること。（毎学年３回）</t>
    <rPh sb="0" eb="3">
      <t>オオソウジ</t>
    </rPh>
    <rPh sb="5" eb="7">
      <t>テイキ</t>
    </rPh>
    <rPh sb="8" eb="9">
      <t>オコナ</t>
    </rPh>
    <rPh sb="18" eb="21">
      <t>マイガクネン</t>
    </rPh>
    <rPh sb="22" eb="23">
      <t>カイ</t>
    </rPh>
    <phoneticPr fontId="21"/>
  </si>
  <si>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1"/>
  </si>
  <si>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1"/>
  </si>
  <si>
    <t>主要構造部が非木造躯体（RC造/SRC造/S造）である場合で、評価する取組み表の評価ポイントの合計値が1ポイント以上</t>
    <rPh sb="56" eb="58">
      <t>イジョウ</t>
    </rPh>
    <phoneticPr fontId="21"/>
  </si>
  <si>
    <t>電気％</t>
    <rPh sb="0" eb="2">
      <t>デンキ</t>
    </rPh>
    <phoneticPr fontId="21"/>
  </si>
  <si>
    <t>住宅　専有部（住戸全体）</t>
    <rPh sb="0" eb="2">
      <t>ジュウタク</t>
    </rPh>
    <rPh sb="3" eb="5">
      <t>センユウ</t>
    </rPh>
    <rPh sb="5" eb="6">
      <t>ブ</t>
    </rPh>
    <rPh sb="7" eb="9">
      <t>ジュウコ</t>
    </rPh>
    <rPh sb="9" eb="11">
      <t>ゼンタイ</t>
    </rPh>
    <phoneticPr fontId="21"/>
  </si>
  <si>
    <t>太陽光発電の発電量</t>
    <phoneticPr fontId="21"/>
  </si>
  <si>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1"/>
  </si>
  <si>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1"/>
  </si>
  <si>
    <t>建設</t>
    <rPh sb="0" eb="2">
      <t>ケンセツ</t>
    </rPh>
    <phoneticPr fontId="21"/>
  </si>
  <si>
    <t>修繕・更新・解体</t>
    <rPh sb="0" eb="2">
      <t>シュウゼン</t>
    </rPh>
    <rPh sb="3" eb="5">
      <t>コウシン</t>
    </rPh>
    <rPh sb="6" eb="8">
      <t>カイタイ</t>
    </rPh>
    <phoneticPr fontId="21"/>
  </si>
  <si>
    <t>運用</t>
    <rPh sb="0" eb="2">
      <t>ウンヨウ</t>
    </rPh>
    <phoneticPr fontId="21"/>
  </si>
  <si>
    <t>Ref</t>
    <phoneticPr fontId="21"/>
  </si>
  <si>
    <r>
      <t>Q</t>
    </r>
    <r>
      <rPr>
        <b/>
        <sz val="11"/>
        <color indexed="26"/>
        <rFont val="ＭＳ Ｐゴシック"/>
        <family val="3"/>
        <charset val="128"/>
      </rPr>
      <t>　環境品質</t>
    </r>
    <rPh sb="2" eb="4">
      <t>カンキョウ</t>
    </rPh>
    <rPh sb="4" eb="6">
      <t>ヒンシツ</t>
    </rPh>
    <phoneticPr fontId="21"/>
  </si>
  <si>
    <r>
      <t>Q</t>
    </r>
    <r>
      <rPr>
        <b/>
        <i/>
        <sz val="14"/>
        <color indexed="9"/>
        <rFont val="ＭＳ Ｐゴシック"/>
        <family val="3"/>
        <charset val="128"/>
      </rPr>
      <t>のスコア</t>
    </r>
    <r>
      <rPr>
        <b/>
        <i/>
        <sz val="14"/>
        <color indexed="9"/>
        <rFont val="Arial"/>
        <family val="2"/>
      </rPr>
      <t>=</t>
    </r>
    <phoneticPr fontId="21"/>
  </si>
  <si>
    <t>Subjest1</t>
    <phoneticPr fontId="21"/>
  </si>
  <si>
    <t>Subjest2</t>
    <phoneticPr fontId="21"/>
  </si>
  <si>
    <t>Subjest3</t>
    <phoneticPr fontId="21"/>
  </si>
  <si>
    <t>Score</t>
    <phoneticPr fontId="21"/>
  </si>
  <si>
    <t>開口部遮音性能</t>
    <phoneticPr fontId="21"/>
  </si>
  <si>
    <t>界壁遮音性能</t>
  </si>
  <si>
    <t>界床遮音性能（軽量衝撃源）</t>
  </si>
  <si>
    <t>界床遮音性能（重量衝撃源）</t>
  </si>
  <si>
    <t>吸音</t>
  </si>
  <si>
    <t>温熱環境</t>
    <rPh sb="0" eb="2">
      <t>ｵﾝﾈﾂ</t>
    </rPh>
    <rPh sb="2" eb="4">
      <t>ｶﾝｷｮｳ</t>
    </rPh>
    <phoneticPr fontId="34" type="noConversion"/>
  </si>
  <si>
    <t>室温制御</t>
    <rPh sb="0" eb="2">
      <t>ｼﾂｵﾝ</t>
    </rPh>
    <rPh sb="2" eb="4">
      <t>ｾｲｷﾞｮ</t>
    </rPh>
    <phoneticPr fontId="34" type="noConversion"/>
  </si>
  <si>
    <t>外皮性能</t>
    <rPh sb="0" eb="2">
      <t>ガイヒ</t>
    </rPh>
    <rPh sb="2" eb="4">
      <t>セイノウ</t>
    </rPh>
    <phoneticPr fontId="21"/>
  </si>
  <si>
    <t>ゾーン別制御性</t>
    <rPh sb="3" eb="4">
      <t>ベツ</t>
    </rPh>
    <rPh sb="4" eb="7">
      <t>セイギョセイ</t>
    </rPh>
    <phoneticPr fontId="21"/>
  </si>
  <si>
    <t>個別制御</t>
    <rPh sb="0" eb="2">
      <t>コベツ</t>
    </rPh>
    <rPh sb="2" eb="4">
      <t>セイギョ</t>
    </rPh>
    <phoneticPr fontId="21"/>
  </si>
  <si>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</si>
  <si>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</si>
  <si>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</si>
  <si>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4"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</si>
  <si>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1"/>
  </si>
  <si>
    <t>居室面積の1/6以上の開閉可能な窓を確保している。</t>
    <phoneticPr fontId="21"/>
  </si>
  <si>
    <t>Q2 サービス性能</t>
    <phoneticPr fontId="21"/>
  </si>
  <si>
    <t>Q</t>
    <phoneticPr fontId="21"/>
  </si>
  <si>
    <t>Q3</t>
    <phoneticPr fontId="21"/>
  </si>
  <si>
    <t>気候区分</t>
    <phoneticPr fontId="21"/>
  </si>
  <si>
    <t>BEE(Round)</t>
    <phoneticPr fontId="21"/>
  </si>
  <si>
    <t>LR1</t>
    <phoneticPr fontId="21"/>
  </si>
  <si>
    <t>LR1 
エネルギー</t>
    <phoneticPr fontId="21"/>
  </si>
  <si>
    <t>㎡</t>
    <phoneticPr fontId="34" type="noConversion"/>
  </si>
  <si>
    <t>Q1</t>
    <phoneticPr fontId="21"/>
  </si>
  <si>
    <t>㎡</t>
    <phoneticPr fontId="34" type="noConversion"/>
  </si>
  <si>
    <r>
      <t>BEE</t>
    </r>
    <r>
      <rPr>
        <sz val="11"/>
        <rFont val="ＭＳ Ｐゴシック"/>
        <family val="3"/>
        <charset val="128"/>
      </rPr>
      <t>グラフ</t>
    </r>
    <phoneticPr fontId="21"/>
  </si>
  <si>
    <t>BEE</t>
    <phoneticPr fontId="21"/>
  </si>
  <si>
    <t>X</t>
    <phoneticPr fontId="21"/>
  </si>
  <si>
    <t>S</t>
    <phoneticPr fontId="21"/>
  </si>
  <si>
    <t>A</t>
    <phoneticPr fontId="21"/>
  </si>
  <si>
    <t>B+</t>
    <phoneticPr fontId="21"/>
  </si>
  <si>
    <t>B</t>
    <phoneticPr fontId="21"/>
  </si>
  <si>
    <t>B-</t>
    <phoneticPr fontId="21"/>
  </si>
  <si>
    <t>Rank(green star)</t>
    <phoneticPr fontId="21"/>
  </si>
  <si>
    <t xml:space="preserve"> ④上記+
　オフサイト手法</t>
    <phoneticPr fontId="21"/>
  </si>
  <si>
    <t>■構造</t>
    <rPh sb="1" eb="3">
      <t>コウゾウ</t>
    </rPh>
    <phoneticPr fontId="21"/>
  </si>
  <si>
    <t>RC造</t>
    <rPh sb="2" eb="3">
      <t>ゾウ</t>
    </rPh>
    <phoneticPr fontId="21"/>
  </si>
  <si>
    <t>S造</t>
    <rPh sb="1" eb="2">
      <t>ゾウ</t>
    </rPh>
    <phoneticPr fontId="21"/>
  </si>
  <si>
    <t>SRC造</t>
    <rPh sb="3" eb="4">
      <t>ゾウ</t>
    </rPh>
    <phoneticPr fontId="21"/>
  </si>
  <si>
    <t>木造</t>
    <rPh sb="0" eb="2">
      <t>モクゾウ</t>
    </rPh>
    <phoneticPr fontId="21"/>
  </si>
  <si>
    <t>■平均居住人員</t>
    <rPh sb="1" eb="3">
      <t>ﾍｲｷﾝ</t>
    </rPh>
    <rPh sb="3" eb="5">
      <t>ｷｮｼﾞｭｳ</t>
    </rPh>
    <rPh sb="5" eb="7">
      <t>ｼﾞﾝｲﾝ</t>
    </rPh>
    <phoneticPr fontId="34" type="noConversion"/>
  </si>
  <si>
    <t>人（想定値）</t>
    <rPh sb="0" eb="1">
      <t>ニン</t>
    </rPh>
    <rPh sb="2" eb="4">
      <t>ソウテイ</t>
    </rPh>
    <rPh sb="4" eb="5">
      <t>アタイ</t>
    </rPh>
    <phoneticPr fontId="21"/>
  </si>
  <si>
    <t>■年間使用時間</t>
    <rPh sb="1" eb="3">
      <t>ﾈﾝｶﾝ</t>
    </rPh>
    <rPh sb="3" eb="5">
      <t>ｼﾖｳ</t>
    </rPh>
    <rPh sb="5" eb="7">
      <t>ｼﾞｶﾝ</t>
    </rPh>
    <phoneticPr fontId="34" type="noConversion"/>
  </si>
  <si>
    <t>時間/年（想定値）</t>
    <rPh sb="0" eb="2">
      <t>ジカン</t>
    </rPh>
    <rPh sb="3" eb="4">
      <t>ネン</t>
    </rPh>
    <phoneticPr fontId="21"/>
  </si>
  <si>
    <t>② 評価の実施</t>
    <rPh sb="2" eb="4">
      <t>ヒョウカ</t>
    </rPh>
    <rPh sb="5" eb="7">
      <t>ジッシ</t>
    </rPh>
    <phoneticPr fontId="21"/>
  </si>
  <si>
    <t>既存</t>
    <rPh sb="0" eb="2">
      <t>キソン</t>
    </rPh>
    <phoneticPr fontId="21"/>
  </si>
  <si>
    <t>新築</t>
    <rPh sb="0" eb="2">
      <t>シンチク</t>
    </rPh>
    <phoneticPr fontId="21"/>
  </si>
  <si>
    <t>既存学校版</t>
    <rPh sb="0" eb="2">
      <t>キソン</t>
    </rPh>
    <rPh sb="2" eb="4">
      <t>ガッコウ</t>
    </rPh>
    <rPh sb="4" eb="5">
      <t>バン</t>
    </rPh>
    <phoneticPr fontId="21"/>
  </si>
  <si>
    <r>
      <t xml:space="preserve">■ </t>
    </r>
    <r>
      <rPr>
        <sz val="10"/>
        <rFont val="ＭＳ Ｐゴシック"/>
        <family val="3"/>
        <charset val="128"/>
      </rPr>
      <t>評価の実施</t>
    </r>
    <rPh sb="2" eb="4">
      <t>ヒョウカ</t>
    </rPh>
    <rPh sb="5" eb="7">
      <t>ジッシ</t>
    </rPh>
    <phoneticPr fontId="21"/>
  </si>
  <si>
    <t>実施設計段階</t>
    <rPh sb="0" eb="2">
      <t>ジッシ</t>
    </rPh>
    <rPh sb="2" eb="4">
      <t>セッケイ</t>
    </rPh>
    <rPh sb="4" eb="6">
      <t>ダンカイ</t>
    </rPh>
    <phoneticPr fontId="21"/>
  </si>
  <si>
    <t>基本設計段階</t>
    <rPh sb="0" eb="2">
      <t>キホン</t>
    </rPh>
    <rPh sb="2" eb="4">
      <t>セッケイ</t>
    </rPh>
    <rPh sb="4" eb="6">
      <t>ダンカイ</t>
    </rPh>
    <phoneticPr fontId="21"/>
  </si>
  <si>
    <t>上記の他、換気ボイドなど、効果を促進させる建築的工夫がなされ、その影響範囲が、建物の過半（50%以上）に及ぶもの</t>
    <rPh sb="0" eb="1">
      <t>ジョウ</t>
    </rPh>
    <rPh sb="39" eb="41">
      <t>タテモノ</t>
    </rPh>
    <phoneticPr fontId="21"/>
  </si>
  <si>
    <t>レベル４に加え、利用量が15MJ/㎡・年以上となる場合。</t>
    <rPh sb="8" eb="10">
      <t>リヨウ</t>
    </rPh>
    <rPh sb="10" eb="11">
      <t>リョウ</t>
    </rPh>
    <rPh sb="19" eb="20">
      <t>トシ</t>
    </rPh>
    <rPh sb="20" eb="22">
      <t>イジョウ</t>
    </rPh>
    <rPh sb="25" eb="27">
      <t>バアイ</t>
    </rPh>
    <phoneticPr fontId="21"/>
  </si>
  <si>
    <t>上記の工夫が、建物の大半（80%以上）に及ぶもの</t>
    <rPh sb="0" eb="1">
      <t>ジョウ</t>
    </rPh>
    <rPh sb="7" eb="9">
      <t>タテモノ</t>
    </rPh>
    <phoneticPr fontId="21"/>
  </si>
  <si>
    <t>躯体材料の耐用年数</t>
    <rPh sb="0" eb="2">
      <t>クタイ</t>
    </rPh>
    <rPh sb="2" eb="4">
      <t>ザイリョウ</t>
    </rPh>
    <rPh sb="5" eb="7">
      <t>タイヨウ</t>
    </rPh>
    <rPh sb="7" eb="9">
      <t>ネンスウ</t>
    </rPh>
    <phoneticPr fontId="21"/>
  </si>
  <si>
    <t>外壁仕上げ材の補修必要間隔</t>
    <rPh sb="0" eb="2">
      <t>ガイヘキ</t>
    </rPh>
    <rPh sb="2" eb="4">
      <t>シア</t>
    </rPh>
    <rPh sb="5" eb="6">
      <t>ザイ</t>
    </rPh>
    <rPh sb="7" eb="9">
      <t>ホシュウ</t>
    </rPh>
    <rPh sb="9" eb="11">
      <t>ヒツヨウ</t>
    </rPh>
    <rPh sb="11" eb="13">
      <t>カンカク</t>
    </rPh>
    <phoneticPr fontId="21"/>
  </si>
  <si>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1"/>
  </si>
  <si>
    <t>空調換気ダクトの更新必要間隔</t>
    <rPh sb="0" eb="2">
      <t>クウチョウ</t>
    </rPh>
    <rPh sb="2" eb="4">
      <t>カンキ</t>
    </rPh>
    <rPh sb="8" eb="10">
      <t>コウシン</t>
    </rPh>
    <rPh sb="10" eb="12">
      <t>ヒツヨウ</t>
    </rPh>
    <rPh sb="12" eb="14">
      <t>カンカク</t>
    </rPh>
    <phoneticPr fontId="21"/>
  </si>
  <si>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1"/>
  </si>
  <si>
    <t>主要設備機器の更新必要間隔</t>
    <rPh sb="0" eb="2">
      <t>シュヨウ</t>
    </rPh>
    <rPh sb="2" eb="4">
      <t>セツビ</t>
    </rPh>
    <rPh sb="4" eb="6">
      <t>キキ</t>
    </rPh>
    <rPh sb="7" eb="9">
      <t>コウシン</t>
    </rPh>
    <rPh sb="9" eb="11">
      <t>ヒツヨウ</t>
    </rPh>
    <rPh sb="11" eb="13">
      <t>カンカク</t>
    </rPh>
    <phoneticPr fontId="21"/>
  </si>
  <si>
    <t>適切な更新</t>
    <rPh sb="0" eb="2">
      <t>テキセツ</t>
    </rPh>
    <rPh sb="3" eb="5">
      <t>コウシン</t>
    </rPh>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</si>
  <si>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</si>
  <si>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</si>
  <si>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</si>
  <si>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○○による</t>
    <phoneticPr fontId="21"/>
  </si>
  <si>
    <t>○○</t>
    <phoneticPr fontId="21"/>
  </si>
  <si>
    <t>○○</t>
    <phoneticPr fontId="21"/>
  </si>
  <si>
    <t>○○</t>
    <phoneticPr fontId="21"/>
  </si>
  <si>
    <t>合計</t>
    <phoneticPr fontId="21"/>
  </si>
  <si>
    <t>kWh/年</t>
    <phoneticPr fontId="21"/>
  </si>
  <si>
    <t>自家消費分</t>
    <phoneticPr fontId="21"/>
  </si>
  <si>
    <t>kWh/年</t>
    <phoneticPr fontId="21"/>
  </si>
  <si>
    <t>段階</t>
    <phoneticPr fontId="21"/>
  </si>
  <si>
    <t>余剰売電分</t>
    <phoneticPr fontId="21"/>
  </si>
  <si>
    <t>通常の空調方式であるが、居住域の上下温度差や気流速度に配慮した給排気計画がされている。上下温度差及び気流速度の目標値をおおよそ5℃以内、0.35m/s程度に設定している。</t>
    <phoneticPr fontId="21"/>
  </si>
  <si>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1"/>
  </si>
  <si>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</si>
  <si>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</si>
  <si>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</si>
  <si>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</si>
  <si>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1"/>
  </si>
  <si>
    <t>CFC-12</t>
    <phoneticPr fontId="21"/>
  </si>
  <si>
    <t>HCFC-142b</t>
    <phoneticPr fontId="21"/>
  </si>
  <si>
    <t>フェノールフォーム</t>
    <phoneticPr fontId="21"/>
  </si>
  <si>
    <t>CFC-113</t>
    <phoneticPr fontId="21"/>
  </si>
  <si>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1"/>
  </si>
  <si>
    <t>ODP（CFC基準）</t>
    <phoneticPr fontId="21"/>
  </si>
  <si>
    <t>レベル１（フロン）</t>
    <phoneticPr fontId="21"/>
  </si>
  <si>
    <t>レベル２（フロン）</t>
    <phoneticPr fontId="21"/>
  </si>
  <si>
    <t>0.02～0.06</t>
    <phoneticPr fontId="21"/>
  </si>
  <si>
    <t>レベル３</t>
    <phoneticPr fontId="21"/>
  </si>
  <si>
    <t>評価する取組みがない。</t>
  </si>
  <si>
    <t>講堂・礼拝堂</t>
    <rPh sb="0" eb="2">
      <t>コウドウ</t>
    </rPh>
    <rPh sb="3" eb="6">
      <t>レイハイドウ</t>
    </rPh>
    <phoneticPr fontId="21"/>
  </si>
  <si>
    <t>研究室・普通教室</t>
    <rPh sb="0" eb="3">
      <t>ケンキュウシツ</t>
    </rPh>
    <rPh sb="4" eb="6">
      <t>フツウ</t>
    </rPh>
    <rPh sb="6" eb="8">
      <t>キョウシツ</t>
    </rPh>
    <phoneticPr fontId="21"/>
  </si>
  <si>
    <t>廊下</t>
    <rPh sb="0" eb="2">
      <t>ロウカ</t>
    </rPh>
    <phoneticPr fontId="21"/>
  </si>
  <si>
    <t>運用管理体制の計画を行っていない。</t>
    <phoneticPr fontId="21"/>
  </si>
  <si>
    <t>運用管理の組織、体制、管理方針が計画されている。</t>
    <phoneticPr fontId="21"/>
  </si>
  <si>
    <t>節水の仕組みなし。</t>
    <phoneticPr fontId="21"/>
  </si>
  <si>
    <t>節水コマなどに加えて、省水型機器（例えば擬音、節水型便器など）などを用いている。</t>
    <phoneticPr fontId="21"/>
  </si>
  <si>
    <r>
      <t xml:space="preserve">1.2.1 </t>
    </r>
    <r>
      <rPr>
        <b/>
        <sz val="10"/>
        <rFont val="ＭＳ Ｐゴシック"/>
        <family val="3"/>
        <charset val="128"/>
      </rPr>
      <t>雨水利用システム導入の有無</t>
    </r>
    <phoneticPr fontId="21"/>
  </si>
  <si>
    <t>雨水利用の仕組みなし。</t>
    <phoneticPr fontId="1"/>
  </si>
  <si>
    <t>雨水利用をしている。</t>
    <phoneticPr fontId="1"/>
  </si>
  <si>
    <t>雨水利用によって雨水利用率の20%以上を満たす。</t>
    <phoneticPr fontId="1"/>
  </si>
  <si>
    <t>事・学・物・飲・会・病・ホ・工・住</t>
    <phoneticPr fontId="21"/>
  </si>
  <si>
    <t>(該当するレベルなし)</t>
    <phoneticPr fontId="21"/>
  </si>
  <si>
    <t>(該当するレベルなし)</t>
    <phoneticPr fontId="21"/>
  </si>
  <si>
    <t>Fc=60以上100未満　かつF=490以上</t>
    <phoneticPr fontId="21"/>
  </si>
  <si>
    <t>Fc=100以上　かつF=590以上</t>
    <phoneticPr fontId="21"/>
  </si>
  <si>
    <t>F=355以上　440未満</t>
    <phoneticPr fontId="21"/>
  </si>
  <si>
    <t>F=440以上</t>
    <phoneticPr fontId="21"/>
  </si>
  <si>
    <t>主要構造躯体におけるその他の対策</t>
    <phoneticPr fontId="21"/>
  </si>
  <si>
    <t>節水</t>
    <rPh sb="0" eb="2">
      <t>セッスイ</t>
    </rPh>
    <phoneticPr fontId="21"/>
  </si>
  <si>
    <t>共用部</t>
    <rPh sb="0" eb="2">
      <t>キョウヨウ</t>
    </rPh>
    <rPh sb="2" eb="3">
      <t>ブ</t>
    </rPh>
    <phoneticPr fontId="21"/>
  </si>
  <si>
    <t>建築基準法（シックハウス対応含む）を満たす換気量となっている。</t>
    <phoneticPr fontId="21"/>
  </si>
  <si>
    <t>建築基準法（シックハウス対応含む）を満たす換気量の1.2倍となっている。</t>
    <phoneticPr fontId="21"/>
  </si>
  <si>
    <t>建築基準法（シックハウス対応含む）を満たす換気量の1.4倍となっている。</t>
    <phoneticPr fontId="21"/>
  </si>
  <si>
    <t>広さ感・景観</t>
    <rPh sb="0" eb="1">
      <t>ヒロ</t>
    </rPh>
    <rPh sb="2" eb="3">
      <t>カン</t>
    </rPh>
    <rPh sb="4" eb="6">
      <t>ケイカン</t>
    </rPh>
    <phoneticPr fontId="21"/>
  </si>
  <si>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</si>
  <si>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</si>
  <si>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</si>
  <si>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</si>
  <si>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</si>
  <si>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</si>
  <si>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</si>
  <si>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</si>
  <si>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</si>
  <si>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</si>
  <si>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</si>
  <si>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</si>
  <si>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III効果の確認</t>
  </si>
  <si>
    <t>6)シミュレーション等による温熱環境悪化改善の効果の確認</t>
  </si>
  <si>
    <t>②敷地周辺の地形建物緑地等の現況と計画建物に対して流体数値シミュレーション等を行って影響を予測している場合(2ポイント)</t>
  </si>
  <si>
    <t>指導された規模を満たしており、かつそれ以上の雨水処理対策を実施している。</t>
    <rPh sb="20" eb="21">
      <t>ウエ</t>
    </rPh>
    <phoneticPr fontId="21"/>
  </si>
  <si>
    <t>水質汚濁防止法あるいは下水道法、または地方公共団体等で定める排出基準のうち厳しい基準を満たしている。</t>
    <rPh sb="37" eb="38">
      <t>キビ</t>
    </rPh>
    <rPh sb="40" eb="42">
      <t>キジュン</t>
    </rPh>
    <phoneticPr fontId="21"/>
  </si>
  <si>
    <t>対象外</t>
  </si>
  <si>
    <r>
      <t xml:space="preserve">2.3.4 </t>
    </r>
    <r>
      <rPr>
        <b/>
        <sz val="10"/>
        <rFont val="ＭＳ Ｐゴシック"/>
        <family val="3"/>
        <charset val="128"/>
      </rPr>
      <t>廃棄物処理負荷抑制</t>
    </r>
    <rPh sb="13" eb="15">
      <t>ヨクセイ</t>
    </rPh>
    <phoneticPr fontId="21"/>
  </si>
  <si>
    <t>既存は住の基準あり</t>
    <rPh sb="0" eb="2">
      <t>キソン</t>
    </rPh>
    <rPh sb="3" eb="4">
      <t>ジュウ</t>
    </rPh>
    <rPh sb="5" eb="7">
      <t>キジュン</t>
    </rPh>
    <phoneticPr fontId="21"/>
  </si>
  <si>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</si>
  <si>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</si>
  <si>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1"/>
  </si>
  <si>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</si>
  <si>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</si>
  <si>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</si>
  <si>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</si>
  <si>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1"/>
  </si>
  <si>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1"/>
  </si>
  <si>
    <t>5)生ゴミの減容化・減量化、堆肥化対策を計画している場合（ディスポーザー、生ゴミの自家処理・コンポスト化、バイオマス利用など）</t>
    <rPh sb="58" eb="60">
      <t>リヨウ</t>
    </rPh>
    <phoneticPr fontId="21"/>
  </si>
  <si>
    <t>6)ビン・缶類などの減容化・減量化対策を計画している場合</t>
  </si>
  <si>
    <t>騒音・振動・悪臭の防止</t>
    <rPh sb="0" eb="2">
      <t>ソウオン</t>
    </rPh>
    <rPh sb="3" eb="5">
      <t>シンドウ</t>
    </rPh>
    <rPh sb="6" eb="8">
      <t>アクシュウ</t>
    </rPh>
    <rPh sb="9" eb="11">
      <t>ボウシ</t>
    </rPh>
    <phoneticPr fontId="21"/>
  </si>
  <si>
    <r>
      <t xml:space="preserve">3.1.1 </t>
    </r>
    <r>
      <rPr>
        <b/>
        <sz val="10"/>
        <rFont val="ＭＳ Ｐゴシック"/>
        <family val="3"/>
        <charset val="128"/>
      </rPr>
      <t>騒音</t>
    </r>
    <rPh sb="6" eb="8">
      <t>ソウオン</t>
    </rPh>
    <phoneticPr fontId="21"/>
  </si>
  <si>
    <t>規制対象建物以外の場合</t>
    <rPh sb="0" eb="2">
      <t>キセイ</t>
    </rPh>
    <rPh sb="2" eb="4">
      <t>タイショウ</t>
    </rPh>
    <rPh sb="4" eb="6">
      <t>タテモノ</t>
    </rPh>
    <rPh sb="6" eb="8">
      <t>イガイ</t>
    </rPh>
    <rPh sb="9" eb="11">
      <t>バアイ</t>
    </rPh>
    <phoneticPr fontId="21"/>
  </si>
  <si>
    <t>騒音に関する規制基準値</t>
    <rPh sb="0" eb="2">
      <t>ソウオン</t>
    </rPh>
    <rPh sb="3" eb="4">
      <t>カン</t>
    </rPh>
    <rPh sb="6" eb="8">
      <t>キセイ</t>
    </rPh>
    <rPh sb="8" eb="11">
      <t>キジュンチ</t>
    </rPh>
    <phoneticPr fontId="21"/>
  </si>
  <si>
    <t>第1種区域</t>
    <rPh sb="0" eb="1">
      <t>ダイ</t>
    </rPh>
    <rPh sb="2" eb="3">
      <t>シュ</t>
    </rPh>
    <rPh sb="3" eb="5">
      <t>クイキ</t>
    </rPh>
    <phoneticPr fontId="21"/>
  </si>
  <si>
    <t>第２種区域</t>
    <rPh sb="3" eb="5">
      <t>クイキ</t>
    </rPh>
    <phoneticPr fontId="21"/>
  </si>
  <si>
    <t>　レベル 1</t>
  </si>
  <si>
    <t>レベル３を
満たさない</t>
  </si>
  <si>
    <t>45dB以下</t>
  </si>
  <si>
    <t>40dB以下</t>
  </si>
  <si>
    <t>35dB以下</t>
  </si>
  <si>
    <t>第３種区域</t>
    <rPh sb="0" eb="1">
      <t>ダイ</t>
    </rPh>
    <rPh sb="2" eb="3">
      <t>シュ</t>
    </rPh>
    <rPh sb="3" eb="5">
      <t>クイキ</t>
    </rPh>
    <phoneticPr fontId="21"/>
  </si>
  <si>
    <t>第４種区域</t>
    <rPh sb="0" eb="1">
      <t>ダイ</t>
    </rPh>
    <rPh sb="2" eb="3">
      <t>シュ</t>
    </rPh>
    <rPh sb="3" eb="5">
      <t>クイキ</t>
    </rPh>
    <phoneticPr fontId="21"/>
  </si>
  <si>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</si>
  <si>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</si>
  <si>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</si>
  <si>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</si>
  <si>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</si>
  <si>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</si>
  <si>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1"/>
  </si>
  <si>
    <t>昼光利用</t>
    <rPh sb="0" eb="1">
      <t>ヒル</t>
    </rPh>
    <rPh sb="1" eb="2">
      <t>ヒカリ</t>
    </rPh>
    <rPh sb="2" eb="4">
      <t>リヨウ</t>
    </rPh>
    <phoneticPr fontId="21"/>
  </si>
  <si>
    <r>
      <t xml:space="preserve">3.1.1 </t>
    </r>
    <r>
      <rPr>
        <b/>
        <sz val="10"/>
        <rFont val="ＭＳ Ｐゴシック"/>
        <family val="3"/>
        <charset val="128"/>
      </rPr>
      <t>昼光率</t>
    </r>
    <rPh sb="6" eb="7">
      <t>ヒル</t>
    </rPh>
    <rPh sb="7" eb="8">
      <t>ヒカリ</t>
    </rPh>
    <rPh sb="8" eb="9">
      <t>リツ</t>
    </rPh>
    <phoneticPr fontId="21"/>
  </si>
  <si>
    <t>事・学・病・ホ・工・住</t>
    <rPh sb="10" eb="11">
      <t>ジュウ</t>
    </rPh>
    <phoneticPr fontId="21"/>
  </si>
  <si>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</si>
  <si>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</si>
  <si>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</si>
  <si>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</si>
  <si>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</si>
  <si>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</si>
  <si>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</si>
  <si>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</si>
  <si>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1"/>
  </si>
  <si>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</si>
  <si>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</si>
  <si>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</si>
  <si>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1"/>
  </si>
  <si>
    <t>事・学・工</t>
    <rPh sb="4" eb="5">
      <t>コウ</t>
    </rPh>
    <phoneticPr fontId="21"/>
  </si>
  <si>
    <t>物・飲・病・ホ・住</t>
    <rPh sb="2" eb="3">
      <t>イン</t>
    </rPh>
    <rPh sb="4" eb="5">
      <t>ビョウ</t>
    </rPh>
    <rPh sb="8" eb="9">
      <t>ジュウ</t>
    </rPh>
    <phoneticPr fontId="21"/>
  </si>
  <si>
    <t>病・ホ・住</t>
    <rPh sb="4" eb="5">
      <t>ジュウ</t>
    </rPh>
    <phoneticPr fontId="21"/>
  </si>
  <si>
    <t>昼光利用設備がない。</t>
  </si>
  <si>
    <t>昼光利用設備が１種類ある。</t>
  </si>
  <si>
    <t>グレア対策</t>
    <rPh sb="3" eb="5">
      <t>タイサク</t>
    </rPh>
    <phoneticPr fontId="21"/>
  </si>
  <si>
    <r>
      <t xml:space="preserve">3.2.1 </t>
    </r>
    <r>
      <rPr>
        <b/>
        <sz val="10"/>
        <rFont val="ＭＳ Ｐゴシック"/>
        <family val="3"/>
        <charset val="128"/>
      </rPr>
      <t>照明器具のグレア</t>
    </r>
    <rPh sb="6" eb="8">
      <t>ショウメイ</t>
    </rPh>
    <rPh sb="8" eb="10">
      <t>キグ</t>
    </rPh>
    <phoneticPr fontId="21"/>
  </si>
  <si>
    <t>教室の天井高がおおむね2.7mである。</t>
    <rPh sb="0" eb="2">
      <t>キョウシツ</t>
    </rPh>
    <rPh sb="3" eb="5">
      <t>テンジョウ</t>
    </rPh>
    <rPh sb="5" eb="6">
      <t>ダカ</t>
    </rPh>
    <phoneticPr fontId="21"/>
  </si>
  <si>
    <t>教室の天井高が2.7mを超えている。</t>
    <rPh sb="0" eb="2">
      <t>キョウシツ</t>
    </rPh>
    <rPh sb="3" eb="5">
      <t>テンジョウ</t>
    </rPh>
    <rPh sb="5" eb="6">
      <t>ダカ</t>
    </rPh>
    <rPh sb="12" eb="13">
      <t>コ</t>
    </rPh>
    <phoneticPr fontId="21"/>
  </si>
  <si>
    <r>
      <t xml:space="preserve">2.1.1 </t>
    </r>
    <r>
      <rPr>
        <b/>
        <sz val="10"/>
        <rFont val="ＭＳ Ｐゴシック"/>
        <family val="3"/>
        <charset val="128"/>
      </rPr>
      <t>室温</t>
    </r>
    <rPh sb="6" eb="8">
      <t>シツオン</t>
    </rPh>
    <phoneticPr fontId="21"/>
  </si>
  <si>
    <t>室温</t>
    <rPh sb="0" eb="2">
      <t>シツオン</t>
    </rPh>
    <phoneticPr fontId="21"/>
  </si>
  <si>
    <t>室温</t>
    <phoneticPr fontId="21"/>
  </si>
  <si>
    <t>冬期18℃以上、夏期28℃以下の室温を実現するための最低限の設備容量が確保されている。</t>
    <phoneticPr fontId="21"/>
  </si>
  <si>
    <t>事・学・物・会・ホ</t>
    <rPh sb="0" eb="1">
      <t>コト</t>
    </rPh>
    <rPh sb="2" eb="3">
      <t>ガク</t>
    </rPh>
    <rPh sb="4" eb="5">
      <t>モノ</t>
    </rPh>
    <rPh sb="6" eb="7">
      <t>カイ</t>
    </rPh>
    <phoneticPr fontId="21"/>
  </si>
  <si>
    <t>3つの設備管理業務の取り組みポイントが 0点</t>
    <rPh sb="3" eb="5">
      <t>セツビ</t>
    </rPh>
    <rPh sb="5" eb="7">
      <t>カンリ</t>
    </rPh>
    <rPh sb="7" eb="9">
      <t>ギョウム</t>
    </rPh>
    <rPh sb="10" eb="11">
      <t>ト</t>
    </rPh>
    <rPh sb="12" eb="13">
      <t>ク</t>
    </rPh>
    <rPh sb="21" eb="22">
      <t>テン</t>
    </rPh>
    <phoneticPr fontId="21"/>
  </si>
  <si>
    <t>3つの設備管理業務の取り組みポイントが 1～2点</t>
    <rPh sb="3" eb="5">
      <t>セツビ</t>
    </rPh>
    <rPh sb="5" eb="7">
      <t>カンリ</t>
    </rPh>
    <rPh sb="7" eb="9">
      <t>ギョウム</t>
    </rPh>
    <rPh sb="10" eb="11">
      <t>ト</t>
    </rPh>
    <rPh sb="12" eb="13">
      <t>ク</t>
    </rPh>
    <rPh sb="23" eb="24">
      <t>テン</t>
    </rPh>
    <phoneticPr fontId="21"/>
  </si>
  <si>
    <t>3つの設備管理業務の取り組みポイントが 3点</t>
    <rPh sb="3" eb="5">
      <t>セツビ</t>
    </rPh>
    <rPh sb="5" eb="7">
      <t>カンリ</t>
    </rPh>
    <rPh sb="7" eb="9">
      <t>ギョウム</t>
    </rPh>
    <rPh sb="10" eb="11">
      <t>ト</t>
    </rPh>
    <rPh sb="12" eb="13">
      <t>ク</t>
    </rPh>
    <rPh sb="21" eb="22">
      <t>テン</t>
    </rPh>
    <phoneticPr fontId="21"/>
  </si>
  <si>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</si>
  <si>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1"/>
  </si>
  <si>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1"/>
  </si>
  <si>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1"/>
  </si>
  <si>
    <t>Ⅱ ねずみ等の点検・防除の評価</t>
    <rPh sb="5" eb="6">
      <t>トウ</t>
    </rPh>
    <rPh sb="7" eb="9">
      <t>テンケン</t>
    </rPh>
    <rPh sb="10" eb="12">
      <t>ボウジョ</t>
    </rPh>
    <rPh sb="13" eb="15">
      <t>ヒョウカ</t>
    </rPh>
    <phoneticPr fontId="21"/>
  </si>
  <si>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1"/>
  </si>
  <si>
    <t>建物全体・共用部</t>
    <rPh sb="0" eb="2">
      <t>タテモノ</t>
    </rPh>
    <rPh sb="2" eb="4">
      <t>ゼンタイ</t>
    </rPh>
    <rPh sb="5" eb="7">
      <t>キョウヨウ</t>
    </rPh>
    <rPh sb="7" eb="8">
      <t>ブ</t>
    </rPh>
    <phoneticPr fontId="21"/>
  </si>
  <si>
    <t>小中高</t>
    <rPh sb="0" eb="3">
      <t>ショウチュウコウ</t>
    </rPh>
    <phoneticPr fontId="21"/>
  </si>
  <si>
    <t>住居・宿泊部</t>
    <rPh sb="0" eb="2">
      <t>ジュウキョ</t>
    </rPh>
    <rPh sb="3" eb="5">
      <t>シュクハク</t>
    </rPh>
    <rPh sb="5" eb="6">
      <t>ブ</t>
    </rPh>
    <phoneticPr fontId="21"/>
  </si>
  <si>
    <t>全体・共有</t>
    <rPh sb="0" eb="2">
      <t>ゼンタイ</t>
    </rPh>
    <rPh sb="3" eb="5">
      <t>キョウユウ</t>
    </rPh>
    <phoneticPr fontId="21"/>
  </si>
  <si>
    <t>住居・宿泊</t>
    <rPh sb="0" eb="2">
      <t>ジュウキョ</t>
    </rPh>
    <rPh sb="3" eb="5">
      <t>シュクハク</t>
    </rPh>
    <phoneticPr fontId="21"/>
  </si>
  <si>
    <t>項目名</t>
    <rPh sb="0" eb="2">
      <t>コウモク</t>
    </rPh>
    <rPh sb="2" eb="3">
      <t>メイ</t>
    </rPh>
    <phoneticPr fontId="21"/>
  </si>
  <si>
    <t>延面積</t>
    <rPh sb="0" eb="1">
      <t>ノ</t>
    </rPh>
    <rPh sb="1" eb="3">
      <t>メンセキ</t>
    </rPh>
    <phoneticPr fontId="21"/>
  </si>
  <si>
    <t>延面積比率</t>
    <rPh sb="0" eb="1">
      <t>ノ</t>
    </rPh>
    <rPh sb="1" eb="3">
      <t>メンセキ</t>
    </rPh>
    <rPh sb="3" eb="5">
      <t>ヒリツ</t>
    </rPh>
    <phoneticPr fontId="21"/>
  </si>
  <si>
    <r>
      <t>Q-1</t>
    </r>
    <r>
      <rPr>
        <sz val="11"/>
        <rFont val="ＭＳ Ｐゴシック"/>
        <family val="3"/>
        <charset val="128"/>
      </rPr>
      <t>　室内環境</t>
    </r>
    <rPh sb="4" eb="6">
      <t>シツナイ</t>
    </rPh>
    <rPh sb="6" eb="8">
      <t>カンキョウ</t>
    </rPh>
    <phoneticPr fontId="21"/>
  </si>
  <si>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1"/>
  </si>
  <si>
    <t>音環境</t>
  </si>
  <si>
    <t>機能性</t>
    <rPh sb="0" eb="3">
      <t>キノウセイ</t>
    </rPh>
    <phoneticPr fontId="21"/>
  </si>
  <si>
    <t>生物資源</t>
    <rPh sb="0" eb="2">
      <t>セイブツ</t>
    </rPh>
    <rPh sb="2" eb="4">
      <t>シゲン</t>
    </rPh>
    <phoneticPr fontId="21"/>
  </si>
  <si>
    <t>温熱環境</t>
  </si>
  <si>
    <t>耐用性・信頼性</t>
    <rPh sb="1" eb="2">
      <t>ヨウ</t>
    </rPh>
    <rPh sb="4" eb="7">
      <t>シンライセイ</t>
    </rPh>
    <phoneticPr fontId="21"/>
  </si>
  <si>
    <t>光・視環境</t>
  </si>
  <si>
    <t>対応性･更新性</t>
    <rPh sb="0" eb="3">
      <t>タイオウセイ</t>
    </rPh>
    <rPh sb="4" eb="6">
      <t>コウシン</t>
    </rPh>
    <rPh sb="6" eb="7">
      <t>セイ</t>
    </rPh>
    <phoneticPr fontId="21"/>
  </si>
  <si>
    <t>建築物の環境品質</t>
    <rPh sb="0" eb="3">
      <t>ケンチクブツ</t>
    </rPh>
    <rPh sb="4" eb="6">
      <t>カンキョウ</t>
    </rPh>
    <rPh sb="6" eb="8">
      <t>ヒンシツ</t>
    </rPh>
    <phoneticPr fontId="21"/>
  </si>
  <si>
    <t>住居宿泊・共用部面積比率</t>
    <rPh sb="0" eb="2">
      <t>ジュウキョ</t>
    </rPh>
    <rPh sb="2" eb="4">
      <t>シュクハク</t>
    </rPh>
    <rPh sb="5" eb="7">
      <t>キョウヨウ</t>
    </rPh>
    <rPh sb="7" eb="8">
      <t>ブ</t>
    </rPh>
    <rPh sb="8" eb="10">
      <t>メンセキ</t>
    </rPh>
    <rPh sb="10" eb="12">
      <t>ヒリツ</t>
    </rPh>
    <phoneticPr fontId="21"/>
  </si>
  <si>
    <t xml:space="preserve"> Q</t>
  </si>
  <si>
    <t xml:space="preserve"> Q1</t>
  </si>
  <si>
    <t xml:space="preserve"> Q1 1</t>
  </si>
  <si>
    <t>1.1.1</t>
  </si>
  <si>
    <t xml:space="preserve"> Q1 1.1</t>
  </si>
  <si>
    <t>室内騒音レベル</t>
    <rPh sb="0" eb="2">
      <t>シツナイ</t>
    </rPh>
    <rPh sb="2" eb="4">
      <t>ソウオン</t>
    </rPh>
    <phoneticPr fontId="21"/>
  </si>
  <si>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</si>
  <si>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</si>
  <si>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</si>
  <si>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</si>
  <si>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1"/>
  </si>
  <si>
    <t>削減率　％</t>
    <rPh sb="0" eb="2">
      <t>サクゲン</t>
    </rPh>
    <rPh sb="2" eb="3">
      <t>リツ</t>
    </rPh>
    <phoneticPr fontId="21"/>
  </si>
  <si>
    <t>%</t>
    <phoneticPr fontId="21"/>
  </si>
  <si>
    <t>運用エネルギー消費量</t>
    <rPh sb="0" eb="2">
      <t>ｳﾝﾖｳ</t>
    </rPh>
    <rPh sb="7" eb="10">
      <t>ｼｮｳﾋﾘｮｳ</t>
    </rPh>
    <phoneticPr fontId="34" type="noConversion"/>
  </si>
  <si>
    <r>
      <t>ＭＪ</t>
    </r>
    <r>
      <rPr>
        <sz val="10"/>
        <rFont val="Arial"/>
        <family val="2"/>
      </rPr>
      <t>/</t>
    </r>
    <r>
      <rPr>
        <sz val="10"/>
        <rFont val="ＭＳ Ｐゴシック"/>
        <family val="3"/>
        <charset val="128"/>
      </rPr>
      <t>年㎡</t>
    </r>
    <rPh sb="3" eb="4">
      <t>ネン</t>
    </rPh>
    <phoneticPr fontId="21"/>
  </si>
  <si>
    <r>
      <t>ＭＪ</t>
    </r>
    <r>
      <rPr>
        <sz val="10"/>
        <rFont val="Arial"/>
        <family val="2"/>
      </rPr>
      <t>/</t>
    </r>
    <r>
      <rPr>
        <sz val="10"/>
        <rFont val="ＭＳ Ｐゴシック"/>
        <family val="3"/>
        <charset val="128"/>
      </rPr>
      <t>人時</t>
    </r>
    <rPh sb="3" eb="4">
      <t>ニン</t>
    </rPh>
    <rPh sb="4" eb="5">
      <t>ジ</t>
    </rPh>
    <phoneticPr fontId="21"/>
  </si>
  <si>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4"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</si>
  <si>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1"/>
  </si>
  <si>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1"/>
  </si>
  <si>
    <t>水消費量</t>
    <rPh sb="0" eb="1">
      <t>ﾐｽﾞ</t>
    </rPh>
    <rPh sb="1" eb="4">
      <t>ｼｮｳﾋﾘｮｳ</t>
    </rPh>
    <phoneticPr fontId="34"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</si>
  <si>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1"/>
  </si>
  <si>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1"/>
  </si>
  <si>
    <r>
      <t>LCCO</t>
    </r>
    <r>
      <rPr>
        <vertAlign val="subscript"/>
        <sz val="10"/>
        <rFont val="Arial"/>
        <family val="2"/>
      </rPr>
      <t>2</t>
    </r>
    <r>
      <rPr>
        <sz val="10"/>
        <rFont val="ＭＳ Ｐゴシック"/>
        <family val="3"/>
        <charset val="128"/>
      </rPr>
      <t>排出量</t>
    </r>
    <rPh sb="5" eb="7">
      <t>ハイシュツ</t>
    </rPh>
    <rPh sb="7" eb="8">
      <t>リョウ</t>
    </rPh>
    <phoneticPr fontId="21"/>
  </si>
  <si>
    <r>
      <t>LC</t>
    </r>
    <r>
      <rPr>
        <sz val="10"/>
        <rFont val="ＭＳ Ｐゴシック"/>
        <family val="3"/>
        <charset val="128"/>
      </rPr>
      <t>廃棄物量</t>
    </r>
    <rPh sb="2" eb="5">
      <t>ハイキブツ</t>
    </rPh>
    <rPh sb="5" eb="6">
      <t>リョウ</t>
    </rPh>
    <phoneticPr fontId="21"/>
  </si>
  <si>
    <r>
      <t>ｔ</t>
    </r>
    <r>
      <rPr>
        <sz val="10"/>
        <rFont val="Arial"/>
        <family val="2"/>
      </rPr>
      <t>/</t>
    </r>
    <r>
      <rPr>
        <sz val="10"/>
        <rFont val="ＭＳ Ｐゴシック"/>
        <family val="3"/>
        <charset val="128"/>
      </rPr>
      <t>年㎡</t>
    </r>
    <rPh sb="2" eb="3">
      <t>ネン</t>
    </rPh>
    <phoneticPr fontId="21"/>
  </si>
  <si>
    <r>
      <t>ｔ</t>
    </r>
    <r>
      <rPr>
        <sz val="10"/>
        <rFont val="Arial"/>
        <family val="2"/>
      </rPr>
      <t>/</t>
    </r>
    <r>
      <rPr>
        <sz val="10"/>
        <rFont val="ＭＳ Ｐゴシック"/>
        <family val="3"/>
        <charset val="128"/>
      </rPr>
      <t>人時</t>
    </r>
    <rPh sb="2" eb="3">
      <t>ニン</t>
    </rPh>
    <rPh sb="3" eb="4">
      <t>ジ</t>
    </rPh>
    <phoneticPr fontId="21"/>
  </si>
  <si>
    <r>
      <t>LC</t>
    </r>
    <r>
      <rPr>
        <sz val="10"/>
        <rFont val="ＭＳ Ｐゴシック"/>
        <family val="3"/>
        <charset val="128"/>
      </rPr>
      <t>資源消費量</t>
    </r>
    <rPh sb="2" eb="4">
      <t>シゲン</t>
    </rPh>
    <rPh sb="4" eb="6">
      <t>ショウヒ</t>
    </rPh>
    <rPh sb="6" eb="7">
      <t>リョウ</t>
    </rPh>
    <phoneticPr fontId="21"/>
  </si>
  <si>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4" type="noConversion"/>
  </si>
  <si>
    <t>設計段階</t>
    <rPh sb="0" eb="2">
      <t>ｾｯｹｲ</t>
    </rPh>
    <rPh sb="2" eb="4">
      <t>ﾀﾞﾝｶｲ</t>
    </rPh>
    <phoneticPr fontId="34" type="noConversion"/>
  </si>
  <si>
    <t>建設段階</t>
    <rPh sb="0" eb="2">
      <t>ｹﾝｾﾂ</t>
    </rPh>
    <rPh sb="2" eb="4">
      <t>ﾀﾞﾝｶｲ</t>
    </rPh>
    <phoneticPr fontId="34" type="noConversion"/>
  </si>
  <si>
    <t>有資格者による設計</t>
    <rPh sb="0" eb="4">
      <t>ﾕｳｼｶｸｼｬ</t>
    </rPh>
    <rPh sb="7" eb="9">
      <t>ｾｯｹｲ</t>
    </rPh>
    <phoneticPr fontId="34" type="noConversion"/>
  </si>
  <si>
    <t>環境管理計画</t>
    <rPh sb="0" eb="2">
      <t>ｶﾝｷｮｳ</t>
    </rPh>
    <rPh sb="2" eb="4">
      <t>ｶﾝﾘ</t>
    </rPh>
    <rPh sb="4" eb="6">
      <t>ｹｲｶｸ</t>
    </rPh>
    <phoneticPr fontId="34" type="noConversion"/>
  </si>
  <si>
    <r>
      <t>凡例　　　　　</t>
    </r>
    <r>
      <rPr>
        <sz val="8"/>
        <color indexed="10"/>
        <rFont val="Arial"/>
        <family val="2"/>
      </rPr>
      <t>Q</t>
    </r>
    <r>
      <rPr>
        <sz val="8"/>
        <color indexed="10"/>
        <rFont val="ＭＳ Ｐゴシック"/>
        <family val="3"/>
        <charset val="128"/>
      </rPr>
      <t>：</t>
    </r>
    <rPh sb="0" eb="2">
      <t>ハンレイ</t>
    </rPh>
    <phoneticPr fontId="21"/>
  </si>
  <si>
    <t>(該当するレベルなし)</t>
    <phoneticPr fontId="21"/>
  </si>
  <si>
    <t>制振装置を導入し、強風時の居住性向上に配慮している。</t>
    <phoneticPr fontId="21"/>
  </si>
  <si>
    <t>免震装置を導入している。</t>
    <phoneticPr fontId="21"/>
  </si>
  <si>
    <t>外壁面対策面積率が、
　　・10％未満の場合  (1ポイント)
　　・10％以上20％未満の場合 (2ポイント)
　　・20％以上の場合 (3ポイント)</t>
    <phoneticPr fontId="21"/>
  </si>
  <si>
    <t>V建築設備に伴う排熱の位置等に配慮し、敷地内歩行者空間等の暑熱環境を緩和する</t>
    <phoneticPr fontId="21"/>
  </si>
  <si>
    <t>-</t>
    <phoneticPr fontId="21"/>
  </si>
  <si>
    <t>映り込み対策</t>
    <rPh sb="0" eb="1">
      <t>ウツ</t>
    </rPh>
    <rPh sb="2" eb="3">
      <t>コ</t>
    </rPh>
    <rPh sb="4" eb="6">
      <t>タイサク</t>
    </rPh>
    <phoneticPr fontId="21"/>
  </si>
  <si>
    <t>照度</t>
    <rPh sb="0" eb="2">
      <t>ｼｮｳﾄﾞ</t>
    </rPh>
    <phoneticPr fontId="34" type="noConversion"/>
  </si>
  <si>
    <t>照度</t>
    <rPh sb="0" eb="2">
      <t>ショウド</t>
    </rPh>
    <phoneticPr fontId="21"/>
  </si>
  <si>
    <t>照度均斉度</t>
    <rPh sb="0" eb="2">
      <t>ショウド</t>
    </rPh>
    <rPh sb="2" eb="3">
      <t>タモツ</t>
    </rPh>
    <rPh sb="3" eb="4">
      <t>サイ</t>
    </rPh>
    <rPh sb="4" eb="5">
      <t>タビ</t>
    </rPh>
    <phoneticPr fontId="21"/>
  </si>
  <si>
    <t>照明制御</t>
    <rPh sb="0" eb="2">
      <t>ショウメイ</t>
    </rPh>
    <rPh sb="2" eb="4">
      <t>セイギョ</t>
    </rPh>
    <phoneticPr fontId="21"/>
  </si>
  <si>
    <t>空気質環境</t>
    <rPh sb="0" eb="2">
      <t>クウキ</t>
    </rPh>
    <rPh sb="2" eb="3">
      <t>シツ</t>
    </rPh>
    <rPh sb="3" eb="5">
      <t>カンキョウ</t>
    </rPh>
    <phoneticPr fontId="21"/>
  </si>
  <si>
    <t>発生源対策</t>
    <rPh sb="0" eb="3">
      <t>ﾊｯｾｲｹﾞﾝ</t>
    </rPh>
    <rPh sb="3" eb="5">
      <t>ﾀｲｻｸ</t>
    </rPh>
    <phoneticPr fontId="34" type="noConversion"/>
  </si>
  <si>
    <t>化学汚染物質</t>
    <rPh sb="0" eb="2">
      <t>カガク</t>
    </rPh>
    <rPh sb="4" eb="6">
      <t>ブッシツ</t>
    </rPh>
    <phoneticPr fontId="21"/>
  </si>
  <si>
    <t>アスベスト対策</t>
    <rPh sb="5" eb="7">
      <t>タイサク</t>
    </rPh>
    <phoneticPr fontId="21"/>
  </si>
  <si>
    <t>ダニ・カビ等</t>
    <rPh sb="5" eb="6">
      <t>ナド</t>
    </rPh>
    <phoneticPr fontId="21"/>
  </si>
  <si>
    <t>レジオネラ対策</t>
    <rPh sb="5" eb="7">
      <t>タイサク</t>
    </rPh>
    <phoneticPr fontId="21"/>
  </si>
  <si>
    <t>換気</t>
    <rPh sb="0" eb="2">
      <t>ｶﾝｷ</t>
    </rPh>
    <phoneticPr fontId="34" type="noConversion"/>
  </si>
  <si>
    <t>換気量</t>
    <rPh sb="0" eb="3">
      <t>カンキリョウ</t>
    </rPh>
    <phoneticPr fontId="21"/>
  </si>
  <si>
    <t>廃棄物処理負荷抑制</t>
    <rPh sb="0" eb="3">
      <t>ﾊｲｷﾌﾞﾂ</t>
    </rPh>
    <rPh sb="3" eb="5">
      <t>ｼｮﾘ</t>
    </rPh>
    <rPh sb="5" eb="7">
      <t>ﾌｶ</t>
    </rPh>
    <rPh sb="7" eb="9">
      <t>ﾖｸｾｲ</t>
    </rPh>
    <phoneticPr fontId="34" type="noConversion"/>
  </si>
  <si>
    <t>周辺環境への配慮</t>
    <rPh sb="0" eb="2">
      <t>ｼｭｳﾍﾝ</t>
    </rPh>
    <rPh sb="2" eb="4">
      <t>ｶﾝｷｮｳ</t>
    </rPh>
    <rPh sb="6" eb="8">
      <t>ﾊｲﾘｮ</t>
    </rPh>
    <phoneticPr fontId="34" type="noConversion"/>
  </si>
  <si>
    <t>騒音・振動・悪臭の防止</t>
    <rPh sb="0" eb="2">
      <t>ｿｳｵﾝ</t>
    </rPh>
    <rPh sb="3" eb="5">
      <t>ｼﾝﾄﾞｳ</t>
    </rPh>
    <rPh sb="6" eb="8">
      <t>ｱｸｼｭｳ</t>
    </rPh>
    <rPh sb="9" eb="11">
      <t>ﾎﾞｳｼ</t>
    </rPh>
    <phoneticPr fontId="34" type="noConversion"/>
  </si>
  <si>
    <t>騒音</t>
    <rPh sb="0" eb="2">
      <t>ｿｳｵﾝ</t>
    </rPh>
    <phoneticPr fontId="34" type="noConversion"/>
  </si>
  <si>
    <t>砂塵の抑制</t>
    <rPh sb="0" eb="2">
      <t>ｻｼﾞﾝ</t>
    </rPh>
    <rPh sb="3" eb="5">
      <t>ﾖｸｾｲ</t>
    </rPh>
    <phoneticPr fontId="34" type="noConversion"/>
  </si>
  <si>
    <t>光害の抑制</t>
    <rPh sb="0" eb="2">
      <t>ﾋｶﾘｶﾞｲ</t>
    </rPh>
    <rPh sb="3" eb="5">
      <t>ﾖｸｾｲ</t>
    </rPh>
    <phoneticPr fontId="34"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</si>
  <si>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4"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</si>
  <si>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4"/>
  </si>
  <si>
    <t>出典：</t>
    <rPh sb="0" eb="2">
      <t>シュッテン</t>
    </rPh>
    <phoneticPr fontId="21"/>
  </si>
  <si>
    <t>モニタリング</t>
    <phoneticPr fontId="21"/>
  </si>
  <si>
    <t xml:space="preserve">※1) 概ね、エネルギー消費全体の半分以上の用途構成の把握が可能なモニタリングが計画されていること。
</t>
    <phoneticPr fontId="21"/>
  </si>
  <si>
    <t>※2) 概ね4種類以上の効率評価を行えること。また、空調や照明、換気など系統数が多い場合は、代表系統での評価から全体の推定を行なうことも可</t>
    <phoneticPr fontId="21"/>
  </si>
  <si>
    <t>レベル４に加え、主要な設備システムに関しては、システム効率※2) の評価を行うことにより、システムの性能の評価が行えること。</t>
    <phoneticPr fontId="21"/>
  </si>
  <si>
    <t>定性評価</t>
    <rPh sb="0" eb="2">
      <t>テイセイ</t>
    </rPh>
    <rPh sb="2" eb="4">
      <t>ヒョウカ</t>
    </rPh>
    <phoneticPr fontId="21"/>
  </si>
  <si>
    <t>定量評価</t>
    <rPh sb="0" eb="2">
      <t>テイリョウ</t>
    </rPh>
    <rPh sb="2" eb="4">
      <t>ヒョウカ</t>
    </rPh>
    <phoneticPr fontId="21"/>
  </si>
  <si>
    <t>モニタリング</t>
    <phoneticPr fontId="3"/>
  </si>
  <si>
    <t>運用管理体制</t>
    <rPh sb="0" eb="2">
      <t>ウンヨウ</t>
    </rPh>
    <rPh sb="2" eb="4">
      <t>カンリ</t>
    </rPh>
    <rPh sb="4" eb="6">
      <t>タイセイ</t>
    </rPh>
    <phoneticPr fontId="21"/>
  </si>
  <si>
    <t>運用管理体制</t>
    <rPh sb="0" eb="2">
      <t>うんよう</t>
    </rPh>
    <rPh sb="2" eb="4">
      <t>かんり</t>
    </rPh>
    <rPh sb="4" eb="6">
      <t>たいせい</t>
    </rPh>
    <phoneticPr fontId="34" type="noConversion"/>
  </si>
  <si>
    <t>事・学（大学等）・物・飲・会・病・ホ・工</t>
    <rPh sb="4" eb="6">
      <t>ダイガク</t>
    </rPh>
    <rPh sb="6" eb="7">
      <t>トウ</t>
    </rPh>
    <rPh sb="19" eb="20">
      <t>コウ</t>
    </rPh>
    <phoneticPr fontId="21"/>
  </si>
  <si>
    <t>NO.</t>
    <phoneticPr fontId="21"/>
  </si>
  <si>
    <t>評価する取組み　</t>
    <phoneticPr fontId="21"/>
  </si>
  <si>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1"/>
  </si>
  <si>
    <t>専有部分</t>
    <rPh sb="0" eb="2">
      <t>センユウ</t>
    </rPh>
    <rPh sb="2" eb="4">
      <t>ブブン</t>
    </rPh>
    <phoneticPr fontId="21"/>
  </si>
  <si>
    <t>非住宅部分</t>
    <rPh sb="0" eb="1">
      <t>ひ</t>
    </rPh>
    <rPh sb="1" eb="3">
      <t>じゅうたく</t>
    </rPh>
    <rPh sb="3" eb="5">
      <t>ぶぶん</t>
    </rPh>
    <phoneticPr fontId="34" type="noConversion"/>
  </si>
  <si>
    <t>集合住宅以外の評価</t>
    <rPh sb="0" eb="2">
      <t>しゅうごう</t>
    </rPh>
    <rPh sb="2" eb="4">
      <t>じゅうたく</t>
    </rPh>
    <rPh sb="4" eb="6">
      <t>いがい</t>
    </rPh>
    <rPh sb="7" eb="9">
      <t>ひょうか</t>
    </rPh>
    <phoneticPr fontId="34" type="noConversion"/>
  </si>
  <si>
    <t>集合住宅の評価</t>
    <rPh sb="0" eb="2">
      <t>しゅうごう</t>
    </rPh>
    <rPh sb="2" eb="4">
      <t>じゅうたく</t>
    </rPh>
    <rPh sb="5" eb="7">
      <t>ひょうか</t>
    </rPh>
    <phoneticPr fontId="34"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</si>
  <si>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1"/>
  </si>
  <si>
    <t>通信機械室等</t>
    <rPh sb="2" eb="4">
      <t>キカイ</t>
    </rPh>
    <phoneticPr fontId="21"/>
  </si>
  <si>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</si>
  <si>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</si>
  <si>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</si>
  <si>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</si>
  <si>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</si>
  <si>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</si>
  <si>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</si>
  <si>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</si>
  <si>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1"/>
  </si>
  <si>
    <t>レベル３の基準に加え、定期的に掃除を行っている、などの運用面の取組を行っている。</t>
    <phoneticPr fontId="21"/>
  </si>
  <si>
    <t>冷却塔の水処理、飛散対策等が最低限施されており、給湯器も最低限の対策が施されている。</t>
    <phoneticPr fontId="21"/>
  </si>
  <si>
    <t>冷却塔がない。または、冷却塔の水処理、飛散対策等が十分に施されており、給湯器は最低限の対策が施されている。</t>
    <phoneticPr fontId="21"/>
  </si>
  <si>
    <t>中央管理方式の空気調和設備が設置されている居室の場合は25㎥/ｈ人以上。中央管理方式でない場合は建築基準法（シックハウス対応含む）および建築物衛生法を満たす換気量となっている。</t>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</si>
  <si>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</si>
  <si>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高性能熱反ガラスを使用し、且つ水平庇１．０ｍ以上が計画されている。</t>
    <rPh sb="9" eb="11">
      <t>シヨウ</t>
    </rPh>
    <rPh sb="13" eb="14">
      <t>カ</t>
    </rPh>
    <rPh sb="15" eb="17">
      <t>スイヘイ</t>
    </rPh>
    <rPh sb="17" eb="18">
      <t>ヒサシ</t>
    </rPh>
    <rPh sb="25" eb="27">
      <t>ケイカク</t>
    </rPh>
    <phoneticPr fontId="21"/>
  </si>
  <si>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1"/>
  </si>
  <si>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1"/>
  </si>
  <si>
    <t>＜各レベル間を</t>
    <rPh sb="1" eb="2">
      <t>カク</t>
    </rPh>
    <rPh sb="5" eb="6">
      <t>カン</t>
    </rPh>
    <phoneticPr fontId="21"/>
  </si>
  <si>
    <t>　直線補完し</t>
    <rPh sb="1" eb="3">
      <t>チョクセン</t>
    </rPh>
    <rPh sb="3" eb="5">
      <t>ホカン</t>
    </rPh>
    <phoneticPr fontId="21"/>
  </si>
  <si>
    <t>　小数点を評価＞</t>
    <rPh sb="1" eb="4">
      <t>ショウスウテン</t>
    </rPh>
    <rPh sb="5" eb="7">
      <t>ヒョウカ</t>
    </rPh>
    <phoneticPr fontId="21"/>
  </si>
  <si>
    <t>直接入力</t>
    <rPh sb="0" eb="2">
      <t>チョクセツ</t>
    </rPh>
    <rPh sb="2" eb="4">
      <t>ニュウリョク</t>
    </rPh>
    <phoneticPr fontId="21"/>
  </si>
  <si>
    <t>-</t>
    <phoneticPr fontId="21"/>
  </si>
  <si>
    <t>手術室・病室</t>
    <rPh sb="0" eb="3">
      <t>シュジュツシツ</t>
    </rPh>
    <rPh sb="4" eb="6">
      <t>ビョウシツ</t>
    </rPh>
    <phoneticPr fontId="21"/>
  </si>
  <si>
    <t>ライフサイクルCO2排出率が、一般的な建物（参照値）に対して５０％以下</t>
    <rPh sb="19" eb="21">
      <t>タテモノ</t>
    </rPh>
    <phoneticPr fontId="21"/>
  </si>
  <si>
    <t>排出率</t>
    <rPh sb="0" eb="2">
      <t>ハイシュツ</t>
    </rPh>
    <rPh sb="2" eb="3">
      <t>リツ</t>
    </rPh>
    <phoneticPr fontId="21"/>
  </si>
  <si>
    <t>換算スコア＝</t>
    <rPh sb="0" eb="2">
      <t>カンサン</t>
    </rPh>
    <phoneticPr fontId="21"/>
  </si>
  <si>
    <t>大気汚染防止</t>
    <rPh sb="0" eb="2">
      <t>タイキ</t>
    </rPh>
    <rPh sb="2" eb="4">
      <t>オセン</t>
    </rPh>
    <rPh sb="4" eb="6">
      <t>ボウシ</t>
    </rPh>
    <phoneticPr fontId="21"/>
  </si>
  <si>
    <t>温熱環境悪化の改善</t>
    <rPh sb="0" eb="2">
      <t>オンネツ</t>
    </rPh>
    <rPh sb="2" eb="4">
      <t>カンキョウ</t>
    </rPh>
    <rPh sb="4" eb="6">
      <t>アッカ</t>
    </rPh>
    <rPh sb="7" eb="9">
      <t>カイゼン</t>
    </rPh>
    <phoneticPr fontId="21"/>
  </si>
  <si>
    <t>評価内容</t>
  </si>
  <si>
    <t>I温熱環境の事前調査</t>
  </si>
  <si>
    <t>冬期18℃以上、夏期28℃以下の範囲を設定している。</t>
    <phoneticPr fontId="21"/>
  </si>
  <si>
    <t>各種発泡ガスのODPとGWP</t>
    <rPh sb="0" eb="2">
      <t>カクシュ</t>
    </rPh>
    <rPh sb="2" eb="4">
      <t>ハッポウ</t>
    </rPh>
    <phoneticPr fontId="28"/>
  </si>
  <si>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</si>
  <si>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</si>
  <si>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</si>
  <si>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</si>
  <si>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</si>
  <si>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</si>
  <si>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</si>
  <si>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</si>
  <si>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</si>
  <si>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</si>
  <si>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</si>
  <si>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1"/>
  </si>
  <si>
    <t>同上（固体伝搬音）</t>
  </si>
  <si>
    <t>防振架台、防振支持など</t>
    <rPh sb="7" eb="9">
      <t>シジ</t>
    </rPh>
    <phoneticPr fontId="21"/>
  </si>
  <si>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</si>
  <si>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</si>
  <si>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</si>
  <si>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</si>
  <si>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</si>
  <si>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1"/>
  </si>
  <si>
    <r>
      <t>kg-CO</t>
    </r>
    <r>
      <rPr>
        <vertAlign val="subscript"/>
        <sz val="10"/>
        <rFont val="ＭＳ Ｐゴシック"/>
        <family val="3"/>
        <charset val="128"/>
      </rPr>
      <t>2</t>
    </r>
    <r>
      <rPr>
        <sz val="10"/>
        <rFont val="ＭＳ Ｐゴシック"/>
        <family val="3"/>
        <charset val="128"/>
      </rPr>
      <t>/kWh</t>
    </r>
    <phoneticPr fontId="21"/>
  </si>
  <si>
    <t>余剰売電分</t>
    <phoneticPr fontId="21"/>
  </si>
  <si>
    <t>事・学・飲・工</t>
    <rPh sb="0" eb="1">
      <t>コト</t>
    </rPh>
    <rPh sb="2" eb="3">
      <t>ガク</t>
    </rPh>
    <rPh sb="4" eb="5">
      <t>イン</t>
    </rPh>
    <rPh sb="6" eb="7">
      <t>コウ</t>
    </rPh>
    <phoneticPr fontId="21"/>
  </si>
  <si>
    <t>病（診）</t>
    <rPh sb="0" eb="1">
      <t>ビョウ</t>
    </rPh>
    <rPh sb="2" eb="3">
      <t>ミ</t>
    </rPh>
    <phoneticPr fontId="21"/>
  </si>
  <si>
    <t>[照度] ＜300 lx</t>
    <phoneticPr fontId="21"/>
  </si>
  <si>
    <t>[照度] ＜150lx</t>
    <phoneticPr fontId="21"/>
  </si>
  <si>
    <t>[照度] ＜100 lx</t>
    <phoneticPr fontId="21"/>
  </si>
  <si>
    <t>[照度] ＜150 lx</t>
    <phoneticPr fontId="21"/>
  </si>
  <si>
    <t>300lx≦　[照度] ＜500lx、
または　750lx≦　[照度]</t>
    <phoneticPr fontId="21"/>
  </si>
  <si>
    <t>150 lx≦　[照度]</t>
    <phoneticPr fontId="21"/>
  </si>
  <si>
    <t>100 lx≦　[照度]</t>
    <phoneticPr fontId="21"/>
  </si>
  <si>
    <t>500lx≦　[照度] ＜750</t>
    <phoneticPr fontId="21"/>
  </si>
  <si>
    <t>病</t>
    <phoneticPr fontId="21"/>
  </si>
  <si>
    <t>LR1/1. 建物外皮の熱負荷抑制</t>
    <rPh sb="7" eb="9">
      <t>タテモノ</t>
    </rPh>
    <rPh sb="9" eb="11">
      <t>ガイヒ</t>
    </rPh>
    <rPh sb="12" eb="13">
      <t>ネツ</t>
    </rPh>
    <rPh sb="13" eb="15">
      <t>フカ</t>
    </rPh>
    <rPh sb="15" eb="17">
      <t>ヨクセイ</t>
    </rPh>
    <phoneticPr fontId="21"/>
  </si>
  <si>
    <t>BPI=</t>
    <phoneticPr fontId="21"/>
  </si>
  <si>
    <t>BPIm=</t>
    <phoneticPr fontId="21"/>
  </si>
  <si>
    <t>[BPI]での評価</t>
    <rPh sb="7" eb="9">
      <t>ヒョウカ</t>
    </rPh>
    <phoneticPr fontId="21"/>
  </si>
  <si>
    <t>モデル建物法[BPIm]での評価</t>
    <rPh sb="3" eb="5">
      <t>タテモノ</t>
    </rPh>
    <rPh sb="5" eb="6">
      <t>ホウ</t>
    </rPh>
    <rPh sb="14" eb="16">
      <t>ヒョウカ</t>
    </rPh>
    <phoneticPr fontId="21"/>
  </si>
  <si>
    <t>地域</t>
    <rPh sb="0" eb="2">
      <t>チイキ</t>
    </rPh>
    <phoneticPr fontId="21"/>
  </si>
  <si>
    <t>調整後排出係数</t>
    <rPh sb="0" eb="3">
      <t>チョウセイゴ</t>
    </rPh>
    <rPh sb="3" eb="5">
      <t>ハイシュツ</t>
    </rPh>
    <rPh sb="5" eb="7">
      <t>ケイスウ</t>
    </rPh>
    <phoneticPr fontId="21"/>
  </si>
  <si>
    <t>イーレックス株式会社</t>
  </si>
  <si>
    <t>実排出係数との差</t>
    <rPh sb="0" eb="1">
      <t>ジツ</t>
    </rPh>
    <rPh sb="1" eb="3">
      <t>ハイシュツ</t>
    </rPh>
    <rPh sb="3" eb="5">
      <t>ケイスウ</t>
    </rPh>
    <rPh sb="7" eb="8">
      <t>サ</t>
    </rPh>
    <phoneticPr fontId="21"/>
  </si>
  <si>
    <t>エネサーブ株式会社</t>
  </si>
  <si>
    <t>サミットエナジー株式会社</t>
  </si>
  <si>
    <t>ダイヤモンドパワー株式会社</t>
  </si>
  <si>
    <t>パナソニック株式会社</t>
  </si>
  <si>
    <t>２５～３０</t>
    <phoneticPr fontId="21"/>
  </si>
  <si>
    <t>３０～３５</t>
    <phoneticPr fontId="21"/>
  </si>
  <si>
    <t>３５～４０</t>
    <phoneticPr fontId="21"/>
  </si>
  <si>
    <t>４０～４５</t>
    <phoneticPr fontId="21"/>
  </si>
  <si>
    <t>４５～５０</t>
    <phoneticPr fontId="21"/>
  </si>
  <si>
    <t>５０～５５</t>
    <phoneticPr fontId="21"/>
  </si>
  <si>
    <t>うるささ</t>
    <phoneticPr fontId="21"/>
  </si>
  <si>
    <t>やき声が聞こえる</t>
    <phoneticPr fontId="21"/>
  </si>
  <si>
    <t>電話は支障なし</t>
    <phoneticPr fontId="21"/>
  </si>
  <si>
    <t>――――――</t>
    <phoneticPr fontId="21"/>
  </si>
  <si>
    <t>電話は可能―</t>
    <phoneticPr fontId="21"/>
  </si>
  <si>
    <t>電話やや困難</t>
    <phoneticPr fontId="21"/>
  </si>
  <si>
    <t>スタジオ</t>
    <phoneticPr fontId="21"/>
  </si>
  <si>
    <t>アナウンススタジオ</t>
    <phoneticPr fontId="21"/>
  </si>
  <si>
    <t>ラジオスタジオ</t>
    <phoneticPr fontId="21"/>
  </si>
  <si>
    <t>テレビスタジオ</t>
    <phoneticPr fontId="21"/>
  </si>
  <si>
    <t>ホテルロビー</t>
    <phoneticPr fontId="21"/>
  </si>
  <si>
    <t>ロビー</t>
    <phoneticPr fontId="21"/>
  </si>
  <si>
    <t>宝石店・美術品店</t>
    <phoneticPr fontId="21"/>
  </si>
  <si>
    <t>銀行・レストラン</t>
    <phoneticPr fontId="21"/>
  </si>
  <si>
    <t>建物全体・共用部分</t>
    <phoneticPr fontId="21"/>
  </si>
  <si>
    <t>事・学・物・飲・会・病・ホ・工</t>
    <phoneticPr fontId="21"/>
  </si>
  <si>
    <t>事・学・物・飲・会・病・ホ・工（2000㎡未満）</t>
    <phoneticPr fontId="21"/>
  </si>
  <si>
    <t>病・ホ</t>
    <phoneticPr fontId="21"/>
  </si>
  <si>
    <t>病・ホ（2000㎡未満）</t>
    <phoneticPr fontId="21"/>
  </si>
  <si>
    <t>若干の対策を行っている（評価する取組みにおいて1項目以上を採用）</t>
    <phoneticPr fontId="21"/>
  </si>
  <si>
    <t>太陽光発電による削減分</t>
    <rPh sb="0" eb="2">
      <t>タイヨウ</t>
    </rPh>
    <rPh sb="2" eb="3">
      <t>ヒカリ</t>
    </rPh>
    <rPh sb="3" eb="5">
      <t>ハツデン</t>
    </rPh>
    <rPh sb="8" eb="10">
      <t>サクゲン</t>
    </rPh>
    <rPh sb="10" eb="11">
      <t>ブン</t>
    </rPh>
    <phoneticPr fontId="21"/>
  </si>
  <si>
    <t>(内訳）自家消費分</t>
    <rPh sb="1" eb="3">
      <t>ウチワケ</t>
    </rPh>
    <rPh sb="4" eb="6">
      <t>ジカ</t>
    </rPh>
    <rPh sb="6" eb="8">
      <t>ショウヒ</t>
    </rPh>
    <rPh sb="8" eb="9">
      <t>ブン</t>
    </rPh>
    <phoneticPr fontId="21"/>
  </si>
  <si>
    <t>余剰売電分</t>
    <rPh sb="0" eb="2">
      <t>ヨジョウ</t>
    </rPh>
    <rPh sb="2" eb="4">
      <t>バイデン</t>
    </rPh>
    <rPh sb="4" eb="5">
      <t>ブン</t>
    </rPh>
    <phoneticPr fontId="21"/>
  </si>
  <si>
    <t>その他再生可能エネルギー</t>
    <rPh sb="2" eb="3">
      <t>ホカ</t>
    </rPh>
    <rPh sb="3" eb="5">
      <t>サイセイ</t>
    </rPh>
    <rPh sb="5" eb="7">
      <t>カノウ</t>
    </rPh>
    <phoneticPr fontId="21"/>
  </si>
  <si>
    <t>エネルギー
消費量の算定方法</t>
    <rPh sb="6" eb="9">
      <t>ショウヒリョウ</t>
    </rPh>
    <rPh sb="10" eb="12">
      <t>サンテイ</t>
    </rPh>
    <rPh sb="12" eb="14">
      <t>ホウホウ</t>
    </rPh>
    <phoneticPr fontId="21"/>
  </si>
  <si>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1"/>
  </si>
  <si>
    <t>昼間（am8時～pm7時）、夜間（pm7時～翌朝8時）のいずれの時間も下記の基準を満たしていること</t>
    <phoneticPr fontId="21"/>
  </si>
  <si>
    <r>
      <t xml:space="preserve">3.1.3 </t>
    </r>
    <r>
      <rPr>
        <b/>
        <sz val="10"/>
        <rFont val="ＭＳ Ｐゴシック"/>
        <family val="3"/>
        <charset val="128"/>
      </rPr>
      <t>悪臭</t>
    </r>
    <phoneticPr fontId="21"/>
  </si>
  <si>
    <t>悪臭防止法に定める現行の特定悪臭物質の濃度の許容限度及び臭気指数の許容限度を下回るレベルである</t>
    <phoneticPr fontId="21"/>
  </si>
  <si>
    <t>悪臭防止法に定める特定悪臭物質の濃度の許容限度及び臭気指数の許容限度を満たしている</t>
    <phoneticPr fontId="21"/>
  </si>
  <si>
    <t>風害・砂塵、日照阻害の抑制</t>
    <phoneticPr fontId="21"/>
  </si>
  <si>
    <r>
      <t xml:space="preserve">3.2.1 </t>
    </r>
    <r>
      <rPr>
        <b/>
        <sz val="10"/>
        <rFont val="ＭＳ Ｐゴシック"/>
        <family val="3"/>
        <charset val="128"/>
      </rPr>
      <t>風害の抑制</t>
    </r>
    <phoneticPr fontId="21"/>
  </si>
  <si>
    <t>校庭からの砂塵に対する取組みが十分ではない。（評価ポイント1）</t>
    <phoneticPr fontId="21"/>
  </si>
  <si>
    <t>校庭からの砂塵に対して、標準的な取組みが行われている。（評価ポイント2）</t>
    <phoneticPr fontId="21"/>
  </si>
  <si>
    <t>評価内容</t>
    <phoneticPr fontId="21"/>
  </si>
  <si>
    <t>I 校庭からの砂塵の飛散を抑制する取組み</t>
    <phoneticPr fontId="21"/>
  </si>
  <si>
    <t>1）校庭の周囲に防砂林や防砂ネットを整備し、砂塵の飛散を抑制している。</t>
    <phoneticPr fontId="21"/>
  </si>
  <si>
    <t>2)校庭の周囲を建物で囲い、砂塵の発生や飛散を抑制している。</t>
    <phoneticPr fontId="21"/>
  </si>
  <si>
    <t>II 校庭を砂塵が発生しない仕上げとする。</t>
    <phoneticPr fontId="21"/>
  </si>
  <si>
    <t>1）校庭にスプリンクラーを設置し、砂塵の発生を抑制している。</t>
    <phoneticPr fontId="21"/>
  </si>
  <si>
    <t>2）校庭を砂塵が発生しにくい舗装としている。</t>
    <phoneticPr fontId="21"/>
  </si>
  <si>
    <t>3.1.1</t>
    <phoneticPr fontId="21"/>
  </si>
  <si>
    <t>3.1.2</t>
    <phoneticPr fontId="21"/>
  </si>
  <si>
    <t>3.1.3</t>
    <phoneticPr fontId="21"/>
  </si>
  <si>
    <t>3.2.1</t>
    <phoneticPr fontId="21"/>
  </si>
  <si>
    <t>3.2.2</t>
    <phoneticPr fontId="21"/>
  </si>
  <si>
    <t>3.2.3</t>
    <phoneticPr fontId="21"/>
  </si>
  <si>
    <t>3.2.3</t>
    <phoneticPr fontId="21"/>
  </si>
  <si>
    <t>　外構緑化指数が、50%以上を示す規模の外構緑化を行っている。 (3ポイント)</t>
    <phoneticPr fontId="21"/>
  </si>
  <si>
    <t>2)建物緑化指数が、5％以上20％未満を示す規模の建築物の緑化を行っている。 (1ポイント)</t>
    <phoneticPr fontId="21"/>
  </si>
  <si>
    <t>　建物緑化指数が、20％以上を示す規模の建築物の緑化を行っている。 (2ポイント)</t>
    <phoneticPr fontId="21"/>
  </si>
  <si>
    <t>IV 緑の質の確保</t>
    <phoneticPr fontId="21"/>
  </si>
  <si>
    <t>1)自生種の保全に配慮した緑地づくりを行っている。</t>
    <phoneticPr fontId="21"/>
  </si>
  <si>
    <t>2)敷地や建物の植栽条件に応じた適切な緑地づくりを行っている。</t>
    <phoneticPr fontId="21"/>
  </si>
  <si>
    <t>3)野生小動物の生息域の確保に配慮した緑地づくりを行っている。</t>
    <phoneticPr fontId="21"/>
  </si>
  <si>
    <t>V 生物資源の管理と利用</t>
    <phoneticPr fontId="21"/>
  </si>
  <si>
    <t>1)建物運用時における緑地等の維持管理に必要な設備を設置し、かつ管理方針を示している。</t>
    <phoneticPr fontId="21"/>
  </si>
  <si>
    <t>はい</t>
    <phoneticPr fontId="21"/>
  </si>
  <si>
    <t>いいえ</t>
    <phoneticPr fontId="21"/>
  </si>
  <si>
    <t>　レベル　1</t>
    <phoneticPr fontId="21"/>
  </si>
  <si>
    <t>■レベル　1</t>
    <phoneticPr fontId="21"/>
  </si>
  <si>
    <t>レベル</t>
    <phoneticPr fontId="21"/>
  </si>
  <si>
    <t>1.2.1</t>
    <phoneticPr fontId="21"/>
  </si>
  <si>
    <t>1.2.2</t>
    <phoneticPr fontId="21"/>
  </si>
  <si>
    <t>-</t>
    <phoneticPr fontId="21"/>
  </si>
  <si>
    <t>-</t>
    <phoneticPr fontId="21"/>
  </si>
  <si>
    <r>
      <t>主要構造躯体のコンクリート基準強度Fc及び主筋鉄筋の基準強度F&gt;単位:N/mm</t>
    </r>
    <r>
      <rPr>
        <vertAlign val="superscript"/>
        <sz val="9"/>
        <rFont val="ＭＳ Ｐゴシック"/>
        <family val="3"/>
        <charset val="128"/>
      </rPr>
      <t>2</t>
    </r>
    <rPh sb="13" eb="15">
      <t>キジュン</t>
    </rPh>
    <rPh sb="26" eb="28">
      <t>キジュン</t>
    </rPh>
    <rPh sb="32" eb="34">
      <t>タンイ</t>
    </rPh>
    <phoneticPr fontId="21"/>
  </si>
  <si>
    <t>-</t>
    <phoneticPr fontId="21"/>
  </si>
  <si>
    <t>-</t>
    <phoneticPr fontId="21"/>
  </si>
  <si>
    <t>-</t>
    <phoneticPr fontId="21"/>
  </si>
  <si>
    <r>
      <t>LR3</t>
    </r>
    <r>
      <rPr>
        <b/>
        <sz val="14"/>
        <rFont val="ＭＳ Ｐゴシック"/>
        <family val="3"/>
        <charset val="128"/>
      </rPr>
      <t>　敷地外環境</t>
    </r>
    <rPh sb="4" eb="6">
      <t>シキチ</t>
    </rPh>
    <rPh sb="6" eb="7">
      <t>ガイ</t>
    </rPh>
    <phoneticPr fontId="21"/>
  </si>
  <si>
    <r>
      <t xml:space="preserve">2.2.2 </t>
    </r>
    <r>
      <rPr>
        <b/>
        <sz val="10"/>
        <rFont val="ＭＳ Ｐゴシック"/>
        <family val="3"/>
        <charset val="128"/>
      </rPr>
      <t>外壁仕上げ材の補修必要間隔</t>
    </r>
    <phoneticPr fontId="21"/>
  </si>
  <si>
    <r>
      <t xml:space="preserve">2.2.3 </t>
    </r>
    <r>
      <rPr>
        <b/>
        <sz val="10"/>
        <rFont val="ＭＳ Ｐゴシック"/>
        <family val="3"/>
        <charset val="128"/>
      </rPr>
      <t>主要内装仕上げ材の更新必要間隔</t>
    </r>
    <phoneticPr fontId="21"/>
  </si>
  <si>
    <t>住</t>
    <phoneticPr fontId="21"/>
  </si>
  <si>
    <t>5年未満</t>
    <phoneticPr fontId="21"/>
  </si>
  <si>
    <t>16年以上～25年未満</t>
    <phoneticPr fontId="21"/>
  </si>
  <si>
    <t>20年以上</t>
    <phoneticPr fontId="21"/>
  </si>
  <si>
    <t>採用項目</t>
    <rPh sb="0" eb="2">
      <t>サイヨウ</t>
    </rPh>
    <rPh sb="2" eb="4">
      <t>コウモク</t>
    </rPh>
    <phoneticPr fontId="21"/>
  </si>
  <si>
    <t>（屋外）吸込み口・排気口からの騒音</t>
    <phoneticPr fontId="21"/>
  </si>
  <si>
    <t>建物全体・共用部分</t>
    <phoneticPr fontId="21"/>
  </si>
  <si>
    <t>病・ホ・住</t>
    <phoneticPr fontId="21"/>
  </si>
  <si>
    <t>騒音が気になる。</t>
    <phoneticPr fontId="21"/>
  </si>
  <si>
    <t>騒音がほとんど気にならない。</t>
    <phoneticPr fontId="21"/>
  </si>
  <si>
    <t>T-1未満</t>
    <phoneticPr fontId="21"/>
  </si>
  <si>
    <t>T-1</t>
    <phoneticPr fontId="21"/>
  </si>
  <si>
    <t>T-2以上</t>
    <phoneticPr fontId="21"/>
  </si>
  <si>
    <r>
      <t xml:space="preserve">1.2.2 </t>
    </r>
    <r>
      <rPr>
        <b/>
        <sz val="10"/>
        <rFont val="ＭＳ Ｐゴシック"/>
        <family val="3"/>
        <charset val="128"/>
      </rPr>
      <t>界壁遮音性能</t>
    </r>
    <phoneticPr fontId="21"/>
  </si>
  <si>
    <t>住</t>
    <phoneticPr fontId="21"/>
  </si>
  <si>
    <t>人の話し声が気になる。</t>
    <phoneticPr fontId="21"/>
  </si>
  <si>
    <t>実排出係数の場合</t>
    <rPh sb="0" eb="1">
      <t>ジツ</t>
    </rPh>
    <rPh sb="1" eb="3">
      <t>ハイシュツ</t>
    </rPh>
    <rPh sb="3" eb="5">
      <t>ケイスウ</t>
    </rPh>
    <rPh sb="6" eb="8">
      <t>バアイ</t>
    </rPh>
    <phoneticPr fontId="21"/>
  </si>
  <si>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1"/>
  </si>
  <si>
    <t>実排出係数</t>
    <rPh sb="0" eb="1">
      <t>ジツ</t>
    </rPh>
    <rPh sb="1" eb="3">
      <t>ハイシュツ</t>
    </rPh>
    <rPh sb="3" eb="5">
      <t>ケイスウ</t>
    </rPh>
    <phoneticPr fontId="21"/>
  </si>
  <si>
    <t>延床面積あたり　[2]</t>
    <rPh sb="0" eb="2">
      <t>ノベユカ</t>
    </rPh>
    <rPh sb="2" eb="4">
      <t>メンセキ</t>
    </rPh>
    <phoneticPr fontId="21"/>
  </si>
  <si>
    <t>重み係数</t>
    <rPh sb="0" eb="1">
      <t>オモ</t>
    </rPh>
    <rPh sb="2" eb="4">
      <t>ケイスウ</t>
    </rPh>
    <phoneticPr fontId="21"/>
  </si>
  <si>
    <t>重み係数（既定）</t>
    <rPh sb="0" eb="1">
      <t>オモ</t>
    </rPh>
    <rPh sb="2" eb="4">
      <t>ケイスウ</t>
    </rPh>
    <rPh sb="5" eb="7">
      <t>キテイ</t>
    </rPh>
    <phoneticPr fontId="21"/>
  </si>
  <si>
    <t>0.　既存</t>
    <rPh sb="3" eb="5">
      <t>キソン</t>
    </rPh>
    <phoneticPr fontId="21"/>
  </si>
  <si>
    <t>１．基本設計</t>
    <rPh sb="2" eb="4">
      <t>キホン</t>
    </rPh>
    <rPh sb="4" eb="6">
      <t>セッケイ</t>
    </rPh>
    <phoneticPr fontId="21"/>
  </si>
  <si>
    <t>２．実施・竣工段階</t>
    <rPh sb="2" eb="4">
      <t>ジッシ</t>
    </rPh>
    <rPh sb="5" eb="7">
      <t>シュンコウ</t>
    </rPh>
    <rPh sb="7" eb="9">
      <t>ダンカイ</t>
    </rPh>
    <phoneticPr fontId="21"/>
  </si>
  <si>
    <t>補正後</t>
    <rPh sb="0" eb="2">
      <t>ホセイ</t>
    </rPh>
    <rPh sb="2" eb="3">
      <t>ゴ</t>
    </rPh>
    <phoneticPr fontId="21"/>
  </si>
  <si>
    <t>補正前</t>
    <rPh sb="0" eb="2">
      <t>ホセイ</t>
    </rPh>
    <rPh sb="2" eb="3">
      <t>マエ</t>
    </rPh>
    <phoneticPr fontId="21"/>
  </si>
  <si>
    <t>補正前計</t>
    <rPh sb="0" eb="2">
      <t>ホセイ</t>
    </rPh>
    <rPh sb="2" eb="3">
      <t>マエ</t>
    </rPh>
    <rPh sb="3" eb="4">
      <t>ケイ</t>
    </rPh>
    <phoneticPr fontId="21"/>
  </si>
  <si>
    <t>対象外の選択</t>
    <rPh sb="0" eb="3">
      <t>タイショウガイ</t>
    </rPh>
    <rPh sb="4" eb="6">
      <t>センタク</t>
    </rPh>
    <phoneticPr fontId="21"/>
  </si>
  <si>
    <t>既定重み</t>
    <rPh sb="0" eb="2">
      <t>キテイ</t>
    </rPh>
    <rPh sb="2" eb="3">
      <t>オモ</t>
    </rPh>
    <phoneticPr fontId="21"/>
  </si>
  <si>
    <t>中庭やテラス、バルコニー、サンルーム、アルコーブ、屋根付広場、風光ボイド、アトリウム、等のように風や光が通り抜ける開放的な空間をうまく内部空間と連続させている。
または、</t>
    <phoneticPr fontId="21"/>
  </si>
  <si>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1"/>
  </si>
  <si>
    <t>6）防犯性の配慮</t>
    <phoneticPr fontId="21"/>
  </si>
  <si>
    <t>建物外部の広場などのスペースにおいて、視線を遮らない様な樹木の配置、夜間照明の設置、防犯カメラの設置、防犯に役立つ窓の配置などを行い、防犯性に配慮している。
または、</t>
    <phoneticPr fontId="21"/>
  </si>
  <si>
    <t>広場や歩道状空地がない場合、建物周囲において、視線の行き届かない袋小路や通路などの死角空間を作らないようにし、また防犯に役立つ窓の配置をするなどして、防犯性に配慮している。</t>
    <phoneticPr fontId="21"/>
  </si>
  <si>
    <t>または、
敷地周囲に境界壁等を設ける場合、視線を遮るような連続した塀等を作らず，見通しの良いフェンスや背の低い生垣等を設けて防犯性・防災性に配慮している。</t>
    <phoneticPr fontId="21"/>
  </si>
  <si>
    <t>燃焼機器を使用しておらず、対象建築物の仮想閉空間から外部空間に対して大気汚染物質を全く発生しない。</t>
    <phoneticPr fontId="21"/>
  </si>
  <si>
    <t>評価する取組み表の評価ポイントの合計値が0ポイント</t>
    <phoneticPr fontId="21"/>
  </si>
  <si>
    <t>評価する取組み表の評価ポイントの合計値が1～5ポイント</t>
    <phoneticPr fontId="21"/>
  </si>
  <si>
    <t>緑被率、水被率、中・高木の水平投影面積率の合計が、
　　・10％以上20％未満の場合  (1ポイント)
　　・20％以上30％未満の場合 (2ポイント)
　　・30％以上の場合 (3ポイント)</t>
    <phoneticPr fontId="21"/>
  </si>
  <si>
    <t>待合室</t>
    <rPh sb="0" eb="3">
      <t>マチアイシツ</t>
    </rPh>
    <phoneticPr fontId="21"/>
  </si>
  <si>
    <t>ホテル・住宅</t>
    <rPh sb="4" eb="6">
      <t>ジュウタク</t>
    </rPh>
    <phoneticPr fontId="21"/>
  </si>
  <si>
    <t>書斎</t>
    <rPh sb="0" eb="2">
      <t>ショサイ</t>
    </rPh>
    <phoneticPr fontId="21"/>
  </si>
  <si>
    <t>寝室・客室</t>
    <rPh sb="0" eb="2">
      <t>シンシツ</t>
    </rPh>
    <rPh sb="3" eb="5">
      <t>キャクシツ</t>
    </rPh>
    <phoneticPr fontId="21"/>
  </si>
  <si>
    <t>気温上昇の抑制に努めるため
　・標準的な工夫をしている場合(1ポイント)
　・中間的な工夫をしている場合(2ポイント)
　・全面的な工夫をしている場合(3ポイント)</t>
    <phoneticPr fontId="21"/>
  </si>
  <si>
    <t>①風向きに対する配置や形状の工夫を机上で検討(机上予測)している場合(1ポイント)</t>
    <phoneticPr fontId="21"/>
  </si>
  <si>
    <r>
      <t>2.3.1</t>
    </r>
    <r>
      <rPr>
        <b/>
        <sz val="10"/>
        <rFont val="ＭＳ Ｐゴシック"/>
        <family val="3"/>
        <charset val="128"/>
      </rPr>
      <t>　雨水排水負荷低減</t>
    </r>
    <phoneticPr fontId="21"/>
  </si>
  <si>
    <t>事・学・物・飲・会・病・ホ・工・住　　　&lt;行政指導がある場合&gt;</t>
    <phoneticPr fontId="21"/>
  </si>
  <si>
    <t>行政指導がない場合</t>
    <phoneticPr fontId="21"/>
  </si>
  <si>
    <t>評価対象外</t>
    <phoneticPr fontId="21"/>
  </si>
  <si>
    <t>指導された規模の流出抑制対策を実施している。</t>
    <phoneticPr fontId="21"/>
  </si>
  <si>
    <r>
      <t xml:space="preserve">2.3.2 </t>
    </r>
    <r>
      <rPr>
        <b/>
        <sz val="10"/>
        <rFont val="ＭＳ Ｐゴシック"/>
        <family val="3"/>
        <charset val="128"/>
      </rPr>
      <t>汚水処理負荷抑制</t>
    </r>
    <phoneticPr fontId="21"/>
  </si>
  <si>
    <t>排出基準を満たした上でそれ以上の特別な工夫を実施し、汚水処理負荷を高く抑制している。</t>
    <phoneticPr fontId="21"/>
  </si>
  <si>
    <r>
      <t xml:space="preserve">2.3.3 </t>
    </r>
    <r>
      <rPr>
        <b/>
        <sz val="10"/>
        <rFont val="ＭＳ Ｐゴシック"/>
        <family val="3"/>
        <charset val="128"/>
      </rPr>
      <t>交通負荷抑制</t>
    </r>
    <phoneticPr fontId="21"/>
  </si>
  <si>
    <t>評価する取組み表の評価ポイントの合計値が0ポイント</t>
    <phoneticPr fontId="21"/>
  </si>
  <si>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1"/>
  </si>
  <si>
    <t>レベル</t>
    <phoneticPr fontId="21"/>
  </si>
  <si>
    <t>N.A.</t>
    <phoneticPr fontId="21"/>
  </si>
  <si>
    <t>-</t>
    <phoneticPr fontId="21"/>
  </si>
  <si>
    <t>35＜ [騒音レベル] ≦40</t>
  </si>
  <si>
    <t>　レベル　4</t>
  </si>
  <si>
    <t>■レベル　4</t>
  </si>
  <si>
    <t>[騒音レベル] ≦40</t>
  </si>
  <si>
    <t>[騒音レベル] ≦35</t>
  </si>
  <si>
    <t>[騒音レベル] ≦45</t>
  </si>
  <si>
    <t>[騒音レベル] ≦30</t>
  </si>
  <si>
    <t>[騒音レベル] ≦35</t>
    <phoneticPr fontId="21"/>
  </si>
  <si>
    <t>　レベル　5</t>
  </si>
  <si>
    <t>■レベル　5</t>
  </si>
  <si>
    <t>騒音：　室内許容騒音レベル＊</t>
    <rPh sb="4" eb="6">
      <t>シツナイ</t>
    </rPh>
    <rPh sb="6" eb="8">
      <t>キョヨウ</t>
    </rPh>
    <rPh sb="8" eb="10">
      <t>ソウオン</t>
    </rPh>
    <phoneticPr fontId="21"/>
  </si>
  <si>
    <t>無音感―――</t>
    <rPh sb="0" eb="2">
      <t>ムオン</t>
    </rPh>
    <rPh sb="2" eb="3">
      <t>カン</t>
    </rPh>
    <phoneticPr fontId="21"/>
  </si>
  <si>
    <t>―――――――――非常に静か―――――――――</t>
    <rPh sb="9" eb="11">
      <t>ヒジョウ</t>
    </rPh>
    <rPh sb="12" eb="13">
      <t>シズ</t>
    </rPh>
    <phoneticPr fontId="21"/>
  </si>
  <si>
    <t>―特に気にならない――――――</t>
    <rPh sb="1" eb="2">
      <t>トク</t>
    </rPh>
    <rPh sb="3" eb="4">
      <t>キ</t>
    </rPh>
    <phoneticPr fontId="21"/>
  </si>
  <si>
    <t>騒音を感じる―</t>
    <rPh sb="0" eb="2">
      <t>ソウオン</t>
    </rPh>
    <rPh sb="3" eb="4">
      <t>カン</t>
    </rPh>
    <phoneticPr fontId="21"/>
  </si>
  <si>
    <t xml:space="preserve">              ――――――騒音を無視できない</t>
    <rPh sb="20" eb="22">
      <t>ソウオン</t>
    </rPh>
    <rPh sb="23" eb="25">
      <t>ムシ</t>
    </rPh>
    <phoneticPr fontId="21"/>
  </si>
  <si>
    <t>会話・電話への影響</t>
    <rPh sb="0" eb="2">
      <t>カイワ</t>
    </rPh>
    <rPh sb="3" eb="5">
      <t>デンワ</t>
    </rPh>
    <rPh sb="7" eb="9">
      <t>エイキョウ</t>
    </rPh>
    <phoneticPr fontId="21"/>
  </si>
  <si>
    <t>５ｍ離れてささ</t>
    <rPh sb="2" eb="3">
      <t>ハナ</t>
    </rPh>
    <phoneticPr fontId="21"/>
  </si>
  <si>
    <t>――――１０ｍ離れて会議可能――――</t>
    <rPh sb="7" eb="8">
      <t>ハナ</t>
    </rPh>
    <rPh sb="10" eb="12">
      <t>カイギ</t>
    </rPh>
    <rPh sb="12" eb="14">
      <t>カノウ</t>
    </rPh>
    <phoneticPr fontId="21"/>
  </si>
  <si>
    <t>――普通会話（３ｍ以内）――――</t>
    <rPh sb="2" eb="4">
      <t>フツウ</t>
    </rPh>
    <rPh sb="4" eb="6">
      <t>カイワ</t>
    </rPh>
    <rPh sb="9" eb="11">
      <t>イナイ</t>
    </rPh>
    <phoneticPr fontId="21"/>
  </si>
  <si>
    <t>大声会話（３ｍ）</t>
    <rPh sb="0" eb="2">
      <t>オオゴエ</t>
    </rPh>
    <rPh sb="2" eb="4">
      <t>カイワ</t>
    </rPh>
    <phoneticPr fontId="21"/>
  </si>
  <si>
    <t>　・風下地域への風の通り道と特に関係しない場合(1ポイント)
　・風下地域への風の通り道を遮らないよう配慮している場合(2ポイント)</t>
    <phoneticPr fontId="21"/>
  </si>
  <si>
    <t>卓越風向に対する建築物の見付面積比が
　・60％以上80％未満の場合(1ポイント)
　・40％以上60％未満の場合(2ポイント)
　・40％未満の場合(3ポイント)</t>
    <phoneticPr fontId="21"/>
  </si>
  <si>
    <t>機械・配管支持方法</t>
    <rPh sb="0" eb="2">
      <t>キカイ</t>
    </rPh>
    <rPh sb="3" eb="5">
      <t>ハイカン</t>
    </rPh>
    <rPh sb="5" eb="7">
      <t>シジ</t>
    </rPh>
    <rPh sb="7" eb="9">
      <t>ホウホウ</t>
    </rPh>
    <phoneticPr fontId="21"/>
  </si>
  <si>
    <t>通信・情報設備</t>
    <rPh sb="0" eb="2">
      <t>ツウシン</t>
    </rPh>
    <rPh sb="3" eb="5">
      <t>ジョウホウ</t>
    </rPh>
    <rPh sb="5" eb="7">
      <t>セツビ</t>
    </rPh>
    <phoneticPr fontId="21"/>
  </si>
  <si>
    <t>対応性・更新性</t>
    <rPh sb="0" eb="3">
      <t>タイオウセイ</t>
    </rPh>
    <rPh sb="4" eb="6">
      <t>コウシン</t>
    </rPh>
    <rPh sb="6" eb="7">
      <t>セイ</t>
    </rPh>
    <phoneticPr fontId="21"/>
  </si>
  <si>
    <t>空間のゆとり</t>
  </si>
  <si>
    <t>階高のゆとり</t>
    <rPh sb="0" eb="1">
      <t>カイ</t>
    </rPh>
    <rPh sb="1" eb="2">
      <t>ダカ</t>
    </rPh>
    <phoneticPr fontId="21"/>
  </si>
  <si>
    <t>空間の形状・自由さ</t>
    <rPh sb="0" eb="2">
      <t>クウカン</t>
    </rPh>
    <rPh sb="3" eb="5">
      <t>ケイジョウ</t>
    </rPh>
    <rPh sb="6" eb="8">
      <t>ジユウ</t>
    </rPh>
    <phoneticPr fontId="21"/>
  </si>
  <si>
    <t>荷重のゆとり</t>
  </si>
  <si>
    <t>設備の更新性</t>
  </si>
  <si>
    <t>給排水管の更新性</t>
    <rPh sb="0" eb="1">
      <t>キュウ</t>
    </rPh>
    <rPh sb="1" eb="4">
      <t>ハイスイカン</t>
    </rPh>
    <rPh sb="5" eb="7">
      <t>コウシン</t>
    </rPh>
    <rPh sb="7" eb="8">
      <t>セイ</t>
    </rPh>
    <phoneticPr fontId="21"/>
  </si>
  <si>
    <t>電気配線の更新性</t>
    <rPh sb="0" eb="2">
      <t>デンキ</t>
    </rPh>
    <rPh sb="2" eb="4">
      <t>ハイセン</t>
    </rPh>
    <rPh sb="5" eb="7">
      <t>コウシン</t>
    </rPh>
    <rPh sb="7" eb="8">
      <t>セイ</t>
    </rPh>
    <phoneticPr fontId="21"/>
  </si>
  <si>
    <t>通信配線の更新性</t>
    <rPh sb="0" eb="2">
      <t>ツウシン</t>
    </rPh>
    <rPh sb="2" eb="4">
      <t>ハイセン</t>
    </rPh>
    <rPh sb="5" eb="7">
      <t>コウシン</t>
    </rPh>
    <rPh sb="7" eb="8">
      <t>セイ</t>
    </rPh>
    <phoneticPr fontId="21"/>
  </si>
  <si>
    <t>設備機器の更新性</t>
    <rPh sb="0" eb="2">
      <t>セツビ</t>
    </rPh>
    <rPh sb="2" eb="4">
      <t>キキ</t>
    </rPh>
    <rPh sb="5" eb="7">
      <t>コウシン</t>
    </rPh>
    <rPh sb="7" eb="8">
      <t>セイ</t>
    </rPh>
    <phoneticPr fontId="21"/>
  </si>
  <si>
    <t>バックアップスペースの確保</t>
    <rPh sb="11" eb="13">
      <t>カクホ</t>
    </rPh>
    <phoneticPr fontId="21"/>
  </si>
  <si>
    <t>生物環境の保全と創出</t>
    <rPh sb="0" eb="2">
      <t>セイブツ</t>
    </rPh>
    <rPh sb="2" eb="4">
      <t>カンキョウ</t>
    </rPh>
    <rPh sb="5" eb="7">
      <t>ホゼン</t>
    </rPh>
    <rPh sb="8" eb="10">
      <t>ソウシュツ</t>
    </rPh>
    <phoneticPr fontId="21"/>
  </si>
  <si>
    <t>まちなみ・景観への配慮</t>
    <rPh sb="5" eb="7">
      <t>ケイカン</t>
    </rPh>
    <rPh sb="9" eb="11">
      <t>ハイリョ</t>
    </rPh>
    <phoneticPr fontId="21"/>
  </si>
  <si>
    <t>地域性・アメニティへの配慮</t>
    <rPh sb="0" eb="3">
      <t>ﾁｲｷｾｲ</t>
    </rPh>
    <rPh sb="11" eb="13">
      <t>ﾊｲﾘｮ</t>
    </rPh>
    <phoneticPr fontId="34" type="noConversion"/>
  </si>
  <si>
    <t>地域性への配慮、快適性の向上</t>
  </si>
  <si>
    <t>敷地内温熱環境の向上</t>
    <rPh sb="0" eb="2">
      <t>シキチ</t>
    </rPh>
    <rPh sb="2" eb="3">
      <t>ナイ</t>
    </rPh>
    <rPh sb="3" eb="5">
      <t>オンネツ</t>
    </rPh>
    <rPh sb="8" eb="10">
      <t>コウジョウ</t>
    </rPh>
    <phoneticPr fontId="21"/>
  </si>
  <si>
    <t>LR　建築物の環境負荷低減性</t>
    <phoneticPr fontId="21"/>
  </si>
  <si>
    <t>LR1</t>
    <phoneticPr fontId="34" type="noConversion"/>
  </si>
  <si>
    <t>エネルギー</t>
    <phoneticPr fontId="21"/>
  </si>
  <si>
    <t>自然エネルギー利用</t>
    <rPh sb="0" eb="2">
      <t>ｼｾﾞﾝ</t>
    </rPh>
    <rPh sb="7" eb="9">
      <t>ﾘﾖｳ</t>
    </rPh>
    <phoneticPr fontId="34" type="noConversion"/>
  </si>
  <si>
    <t>実施・竣工</t>
    <rPh sb="0" eb="2">
      <t>ジッシ</t>
    </rPh>
    <rPh sb="3" eb="5">
      <t>シュンコウ</t>
    </rPh>
    <phoneticPr fontId="21"/>
  </si>
  <si>
    <t>基本</t>
    <rPh sb="0" eb="2">
      <t>キホン</t>
    </rPh>
    <phoneticPr fontId="21"/>
  </si>
  <si>
    <t>自然エネルギーの直接利用</t>
  </si>
  <si>
    <t>自然エネルギーの変換利用</t>
  </si>
  <si>
    <t>設備システムの高効率化</t>
    <rPh sb="0" eb="2">
      <t>ｾﾂﾋﾞ</t>
    </rPh>
    <rPh sb="7" eb="8">
      <t>ｺｳ</t>
    </rPh>
    <rPh sb="8" eb="10">
      <t>ｺｳﾘﾂ</t>
    </rPh>
    <rPh sb="10" eb="11">
      <t>ｶ</t>
    </rPh>
    <phoneticPr fontId="34" type="noConversion"/>
  </si>
  <si>
    <t>空調設備</t>
  </si>
  <si>
    <t>換気設備</t>
  </si>
  <si>
    <t>照明設備</t>
  </si>
  <si>
    <t>給湯設備</t>
  </si>
  <si>
    <t>昇降機設備</t>
  </si>
  <si>
    <t>効率的運用</t>
    <rPh sb="0" eb="3">
      <t>ｺｳﾘﾂﾃｷ</t>
    </rPh>
    <rPh sb="3" eb="5">
      <t>ｳﾝﾖｳ</t>
    </rPh>
    <phoneticPr fontId="34" type="noConversion"/>
  </si>
  <si>
    <t>運用管理体制</t>
    <rPh sb="0" eb="2">
      <t>ｳﾝﾖｳ</t>
    </rPh>
    <rPh sb="2" eb="4">
      <t>ｶﾝﾘ</t>
    </rPh>
    <rPh sb="4" eb="6">
      <t>ﾀｲｾｲ</t>
    </rPh>
    <phoneticPr fontId="34" type="noConversion"/>
  </si>
  <si>
    <t>水資源保護</t>
    <rPh sb="0" eb="1">
      <t>ﾐｽﾞ</t>
    </rPh>
    <rPh sb="1" eb="3">
      <t>ｼｹﾞﾝ</t>
    </rPh>
    <rPh sb="3" eb="5">
      <t>ﾎｺﾞ</t>
    </rPh>
    <phoneticPr fontId="34" type="noConversion"/>
  </si>
  <si>
    <t>節水</t>
    <rPh sb="0" eb="2">
      <t>ｾｯｽｲ</t>
    </rPh>
    <phoneticPr fontId="34" type="noConversion"/>
  </si>
  <si>
    <t>雨水利用・雑排水等の利用</t>
    <rPh sb="0" eb="2">
      <t>ｳｽｲ</t>
    </rPh>
    <rPh sb="2" eb="4">
      <t>ﾘﾖｳ</t>
    </rPh>
    <rPh sb="5" eb="8">
      <t>ｻﾞﾂﾊｲｽｲ</t>
    </rPh>
    <rPh sb="8" eb="9">
      <t>ﾄｳ</t>
    </rPh>
    <rPh sb="10" eb="12">
      <t>ﾘﾖｳ</t>
    </rPh>
    <phoneticPr fontId="34" type="noConversion"/>
  </si>
  <si>
    <t>雨水利用システム導入の有無</t>
    <rPh sb="0" eb="2">
      <t>ウスイ</t>
    </rPh>
    <rPh sb="2" eb="4">
      <t>リヨウ</t>
    </rPh>
    <rPh sb="8" eb="10">
      <t>ドウニュウ</t>
    </rPh>
    <rPh sb="11" eb="13">
      <t>ウム</t>
    </rPh>
    <phoneticPr fontId="21"/>
  </si>
  <si>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</si>
  <si>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1"/>
  </si>
  <si>
    <t>材料使用量の削減</t>
    <rPh sb="0" eb="2">
      <t>ザイリョウ</t>
    </rPh>
    <rPh sb="2" eb="4">
      <t>シヨウ</t>
    </rPh>
    <rPh sb="4" eb="5">
      <t>リョウ</t>
    </rPh>
    <rPh sb="6" eb="8">
      <t>サクゲン</t>
    </rPh>
    <phoneticPr fontId="21"/>
  </si>
  <si>
    <t>既存建築躯体等の継続使用</t>
    <rPh sb="6" eb="7">
      <t>トウ</t>
    </rPh>
    <rPh sb="8" eb="10">
      <t>ケイゾク</t>
    </rPh>
    <rPh sb="10" eb="12">
      <t>シヨウ</t>
    </rPh>
    <phoneticPr fontId="21"/>
  </si>
  <si>
    <t>躯体材料におけるリサイクル材の使用</t>
    <rPh sb="0" eb="2">
      <t>クタイ</t>
    </rPh>
    <rPh sb="2" eb="4">
      <t>ザイリョウ</t>
    </rPh>
    <rPh sb="13" eb="14">
      <t>ザイ</t>
    </rPh>
    <rPh sb="15" eb="17">
      <t>シヨウ</t>
    </rPh>
    <phoneticPr fontId="21"/>
  </si>
  <si>
    <t>持続可能な森林から産出された木材</t>
  </si>
  <si>
    <t>部材の再利用可能性向上への取組み</t>
    <rPh sb="9" eb="11">
      <t>コウジョウ</t>
    </rPh>
    <rPh sb="13" eb="15">
      <t>トリク</t>
    </rPh>
    <phoneticPr fontId="21"/>
  </si>
  <si>
    <t>汚染物質含有材料の使用回避</t>
    <rPh sb="0" eb="2">
      <t>オセン</t>
    </rPh>
    <rPh sb="2" eb="4">
      <t>ブッシツ</t>
    </rPh>
    <rPh sb="4" eb="6">
      <t>ガンユウ</t>
    </rPh>
    <rPh sb="6" eb="8">
      <t>ザイリョウ</t>
    </rPh>
    <rPh sb="9" eb="11">
      <t>シヨウ</t>
    </rPh>
    <rPh sb="11" eb="13">
      <t>カイヒ</t>
    </rPh>
    <phoneticPr fontId="21"/>
  </si>
  <si>
    <t>有害物質を含まない材料の使用</t>
    <rPh sb="0" eb="2">
      <t>ユウガイ</t>
    </rPh>
    <rPh sb="2" eb="4">
      <t>ブッシツ</t>
    </rPh>
    <rPh sb="5" eb="6">
      <t>フク</t>
    </rPh>
    <rPh sb="12" eb="14">
      <t>シヨウ</t>
    </rPh>
    <phoneticPr fontId="21"/>
  </si>
  <si>
    <t>フロン・ハロンの回避</t>
    <rPh sb="8" eb="10">
      <t>カイヒ</t>
    </rPh>
    <phoneticPr fontId="21"/>
  </si>
  <si>
    <t>事務室の天井高2.9m以上となっており、かつ、すべての執務者が十分な屋外の情報を得られるように窓が設置されている。</t>
    <phoneticPr fontId="21"/>
  </si>
  <si>
    <t>売場の天井高3.6m以上。</t>
    <phoneticPr fontId="21"/>
  </si>
  <si>
    <t>住居・宿泊部の天井高2.7m以上。</t>
    <phoneticPr fontId="21"/>
  </si>
  <si>
    <r>
      <t xml:space="preserve">1.2.2 </t>
    </r>
    <r>
      <rPr>
        <b/>
        <sz val="10"/>
        <rFont val="ＭＳ Ｐゴシック"/>
        <family val="3"/>
        <charset val="128"/>
      </rPr>
      <t>リフレッシュスペース</t>
    </r>
    <phoneticPr fontId="21"/>
  </si>
  <si>
    <t>-</t>
    <phoneticPr fontId="21"/>
  </si>
  <si>
    <t>レストスペースが売り場面積の2％以上</t>
    <phoneticPr fontId="21"/>
  </si>
  <si>
    <t>レストスペースが売り場面積の3％以上</t>
    <phoneticPr fontId="21"/>
  </si>
  <si>
    <t>レストスペースが売り場面積の4％以上</t>
    <phoneticPr fontId="21"/>
  </si>
  <si>
    <t>評価する取り組みのうち２つの項目に該当する。</t>
    <phoneticPr fontId="21"/>
  </si>
  <si>
    <t>評価する取り組みのうち３つの項目に該当する。</t>
    <phoneticPr fontId="21"/>
  </si>
  <si>
    <t>評価する取り組みのうち４つの項目に該当する。</t>
    <phoneticPr fontId="21"/>
  </si>
  <si>
    <t>住居宿泊部分</t>
    <phoneticPr fontId="21"/>
  </si>
  <si>
    <t>モックアップ（実物大模型）やインテリアパースによる内装計画の事前検証を実施している。</t>
    <phoneticPr fontId="21"/>
  </si>
  <si>
    <t>①　内装仕上げ：内壁面は防汚性の高い仕上げ方法や建材、塗装、コーティングを採用している。</t>
    <phoneticPr fontId="21"/>
  </si>
  <si>
    <t>⑤　内装設計：風除室の１次扉と２次扉が同時に開かないように距離を確保し、または土砂などの進入を防ぐ為の設計をしている。</t>
    <phoneticPr fontId="21"/>
  </si>
  <si>
    <t>⑦　外装仕上げ：外壁面やガラスは防汚性の高い建材や耐候性塗料や親水性塗料などを施した仕上げを採用している。</t>
    <phoneticPr fontId="21"/>
  </si>
  <si>
    <t>⑨　外装設計：害鳥（鳩・烏・椋鳥など）への糞害予防、対策を実施している。</t>
    <phoneticPr fontId="21"/>
  </si>
  <si>
    <t>⑫　その他：上記以外の部分にて維持管理に配慮した設計の取り組みをしている。</t>
    <phoneticPr fontId="21"/>
  </si>
  <si>
    <t>合計＝</t>
    <phoneticPr fontId="21"/>
  </si>
  <si>
    <t>建築物衛生法における特定建築物に該当しない建築物</t>
    <phoneticPr fontId="21"/>
  </si>
  <si>
    <t>合計＝</t>
    <phoneticPr fontId="21"/>
  </si>
  <si>
    <t>(該当するレベルなし)</t>
    <phoneticPr fontId="21"/>
  </si>
  <si>
    <t>建築物衛生法における特定建築物</t>
    <phoneticPr fontId="21"/>
  </si>
  <si>
    <t>冷却塔がない。または、冷却塔の水処理、飛散対策等が十分に施されており、給湯器は最低限の対策が施されている。</t>
  </si>
  <si>
    <t>換気</t>
    <rPh sb="0" eb="2">
      <t>カンキ</t>
    </rPh>
    <phoneticPr fontId="21"/>
  </si>
  <si>
    <r>
      <t xml:space="preserve">4.2.1 </t>
    </r>
    <r>
      <rPr>
        <b/>
        <sz val="10"/>
        <rFont val="ＭＳ Ｐゴシック"/>
        <family val="3"/>
        <charset val="128"/>
      </rPr>
      <t>換気量</t>
    </r>
    <rPh sb="6" eb="9">
      <t>カンキリョウ</t>
    </rPh>
    <phoneticPr fontId="21"/>
  </si>
  <si>
    <t>事・学(大学等)・物・飲・会・病・ホ・工・住</t>
    <rPh sb="0" eb="1">
      <t>コト</t>
    </rPh>
    <rPh sb="2" eb="3">
      <t>ガク</t>
    </rPh>
    <rPh sb="9" eb="10">
      <t>モノ</t>
    </rPh>
    <rPh sb="11" eb="12">
      <t>イン</t>
    </rPh>
    <rPh sb="13" eb="14">
      <t>カイ</t>
    </rPh>
    <rPh sb="15" eb="16">
      <t>ヤマイ</t>
    </rPh>
    <rPh sb="21" eb="22">
      <t>ジュウ</t>
    </rPh>
    <phoneticPr fontId="21"/>
  </si>
  <si>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1"/>
  </si>
  <si>
    <t>中央管理方式の空気調和設備が設置されている居室の場合は35㎥/ｈ人以上。中央管理方式でない場合は建築基準法（シックハウス対応含む）および建築物衛生法を満たす換気量の1.4倍となっている。</t>
    <phoneticPr fontId="21"/>
  </si>
  <si>
    <r>
      <t xml:space="preserve">4.2.2 </t>
    </r>
    <r>
      <rPr>
        <b/>
        <sz val="10"/>
        <rFont val="ＭＳ Ｐゴシック"/>
        <family val="3"/>
        <charset val="128"/>
      </rPr>
      <t>自然換気性能</t>
    </r>
    <rPh sb="6" eb="8">
      <t>シゼン</t>
    </rPh>
    <rPh sb="8" eb="10">
      <t>カンキ</t>
    </rPh>
    <rPh sb="10" eb="12">
      <t>セイノウ</t>
    </rPh>
    <phoneticPr fontId="21"/>
  </si>
  <si>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</si>
  <si>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1"/>
  </si>
  <si>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1"/>
  </si>
  <si>
    <t>建物全体・共用部分</t>
    <phoneticPr fontId="21"/>
  </si>
  <si>
    <t>延床面積＝</t>
    <rPh sb="0" eb="1">
      <t>ノベ</t>
    </rPh>
    <rPh sb="1" eb="4">
      <t>ユカメンセキ</t>
    </rPh>
    <phoneticPr fontId="21"/>
  </si>
  <si>
    <t>備考</t>
    <rPh sb="0" eb="2">
      <t>ビコウ</t>
    </rPh>
    <phoneticPr fontId="21"/>
  </si>
  <si>
    <t>式設定</t>
    <rPh sb="0" eb="1">
      <t>シキ</t>
    </rPh>
    <rPh sb="1" eb="3">
      <t>セッテイ</t>
    </rPh>
    <phoneticPr fontId="21"/>
  </si>
  <si>
    <t>評価する取組み表の評価ポイントの合計値が18ポイント以上</t>
  </si>
  <si>
    <t>2～3</t>
  </si>
  <si>
    <t>学校版基準</t>
    <rPh sb="0" eb="2">
      <t>ガッコウ</t>
    </rPh>
    <rPh sb="2" eb="3">
      <t>バン</t>
    </rPh>
    <rPh sb="3" eb="5">
      <t>キジュン</t>
    </rPh>
    <phoneticPr fontId="21"/>
  </si>
  <si>
    <t>一般地域</t>
    <rPh sb="0" eb="2">
      <t>イッパン</t>
    </rPh>
    <rPh sb="2" eb="4">
      <t>チイキ</t>
    </rPh>
    <phoneticPr fontId="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</si>
  <si>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</si>
  <si>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</si>
  <si>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4" type="noConversion"/>
  </si>
  <si>
    <t>年間延床面積あたり指標</t>
    <rPh sb="0" eb="2">
      <t>ネンカン</t>
    </rPh>
    <rPh sb="2" eb="3">
      <t>ノ</t>
    </rPh>
    <rPh sb="3" eb="6">
      <t>ユカメンセキ</t>
    </rPh>
    <rPh sb="9" eb="11">
      <t>シヒョウ</t>
    </rPh>
    <phoneticPr fontId="21"/>
  </si>
  <si>
    <t>プルダウン選択肢</t>
    <rPh sb="5" eb="8">
      <t>センタクシ</t>
    </rPh>
    <phoneticPr fontId="21"/>
  </si>
  <si>
    <t>　レベル　2</t>
  </si>
  <si>
    <t>■レベル　2</t>
  </si>
  <si>
    <t>45＜ [騒音レベル] ≦50</t>
    <phoneticPr fontId="21"/>
  </si>
  <si>
    <t>40＜ [騒音レベル] ≦45</t>
    <phoneticPr fontId="21"/>
  </si>
  <si>
    <t>50＜ [騒音レベル] ≦55</t>
    <phoneticPr fontId="21"/>
  </si>
  <si>
    <t>35＜ [騒音レベル] ≦40</t>
    <phoneticPr fontId="21"/>
  </si>
  <si>
    <t>　レベル　3</t>
  </si>
  <si>
    <t>■レベル　3</t>
  </si>
  <si>
    <t>30＜ [騒音レベル] ≦35</t>
    <phoneticPr fontId="21"/>
  </si>
  <si>
    <t>35＜ [騒音レベル] ≦45</t>
    <phoneticPr fontId="21"/>
  </si>
  <si>
    <t>ISS 、設備階の設置などによって、仕上げ材を痛めることなく空調配管の更新・修繕が容易にできる。</t>
    <phoneticPr fontId="21"/>
  </si>
  <si>
    <t>構造部材、仕上げ材を痛めることなく修繕、更新できる。</t>
    <phoneticPr fontId="21"/>
  </si>
  <si>
    <t>小中（北海道）</t>
    <rPh sb="0" eb="1">
      <t>ショウ</t>
    </rPh>
    <rPh sb="1" eb="2">
      <t>チュウ</t>
    </rPh>
    <rPh sb="3" eb="6">
      <t>ホッカイドウ</t>
    </rPh>
    <phoneticPr fontId="21"/>
  </si>
  <si>
    <t>小中（その他）</t>
    <rPh sb="0" eb="2">
      <t>ショウチュウ</t>
    </rPh>
    <rPh sb="5" eb="6">
      <t>ホカ</t>
    </rPh>
    <phoneticPr fontId="21"/>
  </si>
  <si>
    <t>平成２４年度の電気事業者別実排出係数等の公表値</t>
    <phoneticPr fontId="21"/>
  </si>
  <si>
    <t>実排出係数及び代替値</t>
    <phoneticPr fontId="21"/>
  </si>
  <si>
    <t>調整後排出係数</t>
    <phoneticPr fontId="21"/>
  </si>
  <si>
    <t>kg-CO2/MJ</t>
    <phoneticPr fontId="21"/>
  </si>
  <si>
    <t>評価ﾚﾍﾞﾙ</t>
    <phoneticPr fontId="21"/>
  </si>
  <si>
    <t>Ａａ1</t>
    <phoneticPr fontId="21"/>
  </si>
  <si>
    <t>Ａｂ1</t>
    <phoneticPr fontId="21"/>
  </si>
  <si>
    <t>Ｂａ1</t>
    <phoneticPr fontId="21"/>
  </si>
  <si>
    <t>Ｂｂ1</t>
    <phoneticPr fontId="21"/>
  </si>
  <si>
    <t>Ｃａ1</t>
    <phoneticPr fontId="21"/>
  </si>
  <si>
    <t>ratio</t>
    <phoneticPr fontId="21"/>
  </si>
  <si>
    <t>住宅（専有部）</t>
    <rPh sb="0" eb="2">
      <t>ジュウタク</t>
    </rPh>
    <rPh sb="3" eb="5">
      <t>センユウ</t>
    </rPh>
    <rPh sb="5" eb="6">
      <t>ブ</t>
    </rPh>
    <phoneticPr fontId="21"/>
  </si>
  <si>
    <t>BEI</t>
    <phoneticPr fontId="21"/>
  </si>
  <si>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1"/>
  </si>
  <si>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1"/>
  </si>
  <si>
    <t>&lt;評価しない&gt;</t>
    <rPh sb="1" eb="3">
      <t>ヒョウカ</t>
    </rPh>
    <phoneticPr fontId="21"/>
  </si>
  <si>
    <t>音環境</t>
    <rPh sb="0" eb="1">
      <t>オト</t>
    </rPh>
    <rPh sb="1" eb="3">
      <t>カンキョウ</t>
    </rPh>
    <phoneticPr fontId="21"/>
  </si>
  <si>
    <t>騒音</t>
    <rPh sb="0" eb="2">
      <t>ソウオン</t>
    </rPh>
    <phoneticPr fontId="21"/>
  </si>
  <si>
    <t>建物全体・共用部分</t>
    <phoneticPr fontId="21"/>
  </si>
  <si>
    <t>重み係数(既定）＝</t>
    <rPh sb="0" eb="1">
      <t>オモ</t>
    </rPh>
    <rPh sb="2" eb="4">
      <t>ケイスウ</t>
    </rPh>
    <rPh sb="5" eb="7">
      <t>キテイ</t>
    </rPh>
    <phoneticPr fontId="21"/>
  </si>
  <si>
    <t>事・病(待)・ホ・工・住</t>
    <rPh sb="4" eb="5">
      <t>マツ</t>
    </rPh>
    <rPh sb="11" eb="12">
      <t>ジュウ</t>
    </rPh>
    <phoneticPr fontId="21"/>
  </si>
  <si>
    <t>学(大学等)・病(診)</t>
    <rPh sb="7" eb="8">
      <t>ビョウ</t>
    </rPh>
    <rPh sb="9" eb="10">
      <t>ミ</t>
    </rPh>
    <phoneticPr fontId="21"/>
  </si>
  <si>
    <t>学(小中高)</t>
    <rPh sb="0" eb="1">
      <t>ガク</t>
    </rPh>
    <rPh sb="2" eb="5">
      <t>ショウチュウコウ</t>
    </rPh>
    <phoneticPr fontId="21"/>
  </si>
  <si>
    <t>病・ホ・住</t>
    <rPh sb="0" eb="1">
      <t>ビョウ</t>
    </rPh>
    <rPh sb="4" eb="5">
      <t>ジュウ</t>
    </rPh>
    <phoneticPr fontId="21"/>
  </si>
  <si>
    <t>50＜ [騒音レベル]</t>
  </si>
  <si>
    <t>45＜ [騒音レベル]</t>
  </si>
  <si>
    <t>55＜ [騒音レベル]</t>
    <phoneticPr fontId="21"/>
  </si>
  <si>
    <t>40＜ [騒音レベル]</t>
  </si>
  <si>
    <t>ON</t>
    <phoneticPr fontId="21"/>
  </si>
  <si>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1"/>
  </si>
  <si>
    <r>
      <t>kg-CO</t>
    </r>
    <r>
      <rPr>
        <vertAlign val="subscript"/>
        <sz val="9"/>
        <rFont val="ＭＳ Ｐゴシック"/>
        <family val="3"/>
        <charset val="128"/>
      </rPr>
      <t>2</t>
    </r>
    <r>
      <rPr>
        <sz val="9"/>
        <rFont val="ＭＳ Ｐゴシック"/>
        <family val="3"/>
        <charset val="128"/>
      </rPr>
      <t>/年㎡</t>
    </r>
    <rPh sb="7" eb="8">
      <t>ネン</t>
    </rPh>
    <phoneticPr fontId="21"/>
  </si>
  <si>
    <t>HFC－245ca</t>
  </si>
  <si>
    <t>FC－14</t>
  </si>
  <si>
    <t>FC－116</t>
  </si>
  <si>
    <t>FC－218</t>
  </si>
  <si>
    <t>FC－C318</t>
  </si>
  <si>
    <t>対象外</t>
    <rPh sb="0" eb="2">
      <t>タイショウ</t>
    </rPh>
    <rPh sb="2" eb="3">
      <t>ガイ</t>
    </rPh>
    <phoneticPr fontId="21"/>
  </si>
  <si>
    <t>ライフサイクルCO2排出率が、一般的な建物（参照値）に対して１２５％以上</t>
    <rPh sb="19" eb="21">
      <t>タテモノ</t>
    </rPh>
    <phoneticPr fontId="21"/>
  </si>
  <si>
    <t>ライフサイクルCO2排出率が、一般的な建物（参照値）と同等</t>
    <rPh sb="19" eb="21">
      <t>タテモノ</t>
    </rPh>
    <phoneticPr fontId="21"/>
  </si>
  <si>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1"/>
  </si>
  <si>
    <t>発泡断熱材種別</t>
    <rPh sb="0" eb="2">
      <t>ハッポウ</t>
    </rPh>
    <rPh sb="2" eb="5">
      <t>ダンネツザイ</t>
    </rPh>
    <rPh sb="5" eb="7">
      <t>シュベツ</t>
    </rPh>
    <phoneticPr fontId="21"/>
  </si>
  <si>
    <t>使用年代</t>
    <rPh sb="0" eb="2">
      <t>シヨウ</t>
    </rPh>
    <rPh sb="2" eb="4">
      <t>ネンダイ</t>
    </rPh>
    <phoneticPr fontId="21"/>
  </si>
  <si>
    <t>発泡剤物質名</t>
    <rPh sb="0" eb="2">
      <t>ハッポウ</t>
    </rPh>
    <rPh sb="2" eb="3">
      <t>ザイ</t>
    </rPh>
    <rPh sb="3" eb="5">
      <t>ブッシツ</t>
    </rPh>
    <rPh sb="5" eb="6">
      <t>メイ</t>
    </rPh>
    <phoneticPr fontId="21"/>
  </si>
  <si>
    <r>
      <t>ＧＷＰ</t>
    </r>
    <r>
      <rPr>
        <sz val="6"/>
        <rFont val="ＭＳ Ｐゴシック"/>
        <family val="3"/>
        <charset val="128"/>
      </rPr>
      <t>（100年値）</t>
    </r>
    <rPh sb="7" eb="8">
      <t>ネン</t>
    </rPh>
    <rPh sb="8" eb="9">
      <t>アタイ</t>
    </rPh>
    <phoneticPr fontId="21"/>
  </si>
  <si>
    <t>ウレタンフォーム</t>
  </si>
  <si>
    <t>1995年以前</t>
    <rPh sb="4" eb="5">
      <t>ネン</t>
    </rPh>
    <rPh sb="5" eb="7">
      <t>イゼン</t>
    </rPh>
    <phoneticPr fontId="21"/>
  </si>
  <si>
    <t>2.3.2</t>
    <phoneticPr fontId="21"/>
  </si>
  <si>
    <t>2.3.3</t>
    <phoneticPr fontId="21"/>
  </si>
  <si>
    <t xml:space="preserve"> Q2 2.3</t>
    <phoneticPr fontId="21"/>
  </si>
  <si>
    <t>2.3.3</t>
    <phoneticPr fontId="21"/>
  </si>
  <si>
    <t>2.4.1</t>
    <phoneticPr fontId="21"/>
  </si>
  <si>
    <t>3.1.1</t>
    <phoneticPr fontId="21"/>
  </si>
  <si>
    <t>3.1.2</t>
    <phoneticPr fontId="21"/>
  </si>
  <si>
    <t>3.3.1</t>
    <phoneticPr fontId="21"/>
  </si>
  <si>
    <t>3.3.2</t>
    <phoneticPr fontId="21"/>
  </si>
  <si>
    <t>3.3.3</t>
    <phoneticPr fontId="21"/>
  </si>
  <si>
    <t>3.3.4</t>
    <phoneticPr fontId="21"/>
  </si>
  <si>
    <t>3.3.5</t>
    <phoneticPr fontId="21"/>
  </si>
  <si>
    <t>3.3.6</t>
    <phoneticPr fontId="21"/>
  </si>
  <si>
    <t>Q3</t>
    <phoneticPr fontId="21"/>
  </si>
  <si>
    <t>室外環境（敷地内）</t>
    <phoneticPr fontId="21"/>
  </si>
  <si>
    <t>まちなみ・景観への配慮</t>
    <phoneticPr fontId="21"/>
  </si>
  <si>
    <t>地域性・アメニティへの配慮</t>
    <phoneticPr fontId="21"/>
  </si>
  <si>
    <t>3.1</t>
    <phoneticPr fontId="21"/>
  </si>
  <si>
    <t>地域性への配慮、快適性の向上</t>
    <phoneticPr fontId="21"/>
  </si>
  <si>
    <t>3.2</t>
    <phoneticPr fontId="21"/>
  </si>
  <si>
    <t>敷地内温熱環境の向上</t>
    <phoneticPr fontId="21"/>
  </si>
  <si>
    <t>LR</t>
    <phoneticPr fontId="34" type="noConversion"/>
  </si>
  <si>
    <t>LR</t>
    <phoneticPr fontId="34" type="noConversion"/>
  </si>
  <si>
    <t>LR1</t>
    <phoneticPr fontId="34" type="noConversion"/>
  </si>
  <si>
    <t>LR</t>
    <phoneticPr fontId="21"/>
  </si>
  <si>
    <t>エネルギー</t>
    <phoneticPr fontId="21"/>
  </si>
  <si>
    <t>2.1</t>
    <phoneticPr fontId="21"/>
  </si>
  <si>
    <t>2.2</t>
    <phoneticPr fontId="21"/>
  </si>
  <si>
    <t>3a</t>
    <phoneticPr fontId="21"/>
  </si>
  <si>
    <t>LR1 3</t>
    <phoneticPr fontId="21"/>
  </si>
  <si>
    <t>LR1 3b</t>
    <phoneticPr fontId="21"/>
  </si>
  <si>
    <t>LR</t>
    <phoneticPr fontId="21"/>
  </si>
  <si>
    <t>地域区分Ⅰ</t>
    <phoneticPr fontId="21"/>
  </si>
  <si>
    <t xml:space="preserve"> 飲食店、食堂、喫茶店 など</t>
    <rPh sb="1" eb="3">
      <t>インショク</t>
    </rPh>
    <rPh sb="3" eb="4">
      <t>テン</t>
    </rPh>
    <rPh sb="5" eb="7">
      <t>ショクドウ</t>
    </rPh>
    <rPh sb="8" eb="11">
      <t>キッサテン</t>
    </rPh>
    <phoneticPr fontId="21"/>
  </si>
  <si>
    <t xml:space="preserve"> 公会堂、集会場、ボーリング場、体育館、劇場、映画館、展示施設 など</t>
    <rPh sb="1" eb="4">
      <t>コウカイドウ</t>
    </rPh>
    <rPh sb="5" eb="8">
      <t>シュウカイジョウ</t>
    </rPh>
    <rPh sb="14" eb="15">
      <t>ジョウ</t>
    </rPh>
    <rPh sb="16" eb="19">
      <t>タイイクカン</t>
    </rPh>
    <rPh sb="20" eb="22">
      <t>ゲキジョウ</t>
    </rPh>
    <rPh sb="23" eb="26">
      <t>エイガカン</t>
    </rPh>
    <rPh sb="27" eb="29">
      <t>テンジ</t>
    </rPh>
    <rPh sb="29" eb="31">
      <t>シセツ</t>
    </rPh>
    <phoneticPr fontId="21"/>
  </si>
  <si>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1"/>
  </si>
  <si>
    <t xml:space="preserve"> 病院、老人ホーム、身体障害者福祉ホームなど</t>
    <rPh sb="1" eb="3">
      <t>ビョウイン</t>
    </rPh>
    <rPh sb="4" eb="6">
      <t>ロウジン</t>
    </rPh>
    <rPh sb="10" eb="12">
      <t>シンタイ</t>
    </rPh>
    <rPh sb="12" eb="15">
      <t>ショウガイシャ</t>
    </rPh>
    <rPh sb="15" eb="17">
      <t>フクシ</t>
    </rPh>
    <phoneticPr fontId="21"/>
  </si>
  <si>
    <t xml:space="preserve"> ホテル、旅館など</t>
    <rPh sb="5" eb="7">
      <t>リョカン</t>
    </rPh>
    <phoneticPr fontId="21"/>
  </si>
  <si>
    <t>2.6</t>
    <phoneticPr fontId="21"/>
  </si>
  <si>
    <t>3.1</t>
    <phoneticPr fontId="21"/>
  </si>
  <si>
    <t>3.1</t>
    <phoneticPr fontId="21"/>
  </si>
  <si>
    <t>3.2</t>
    <phoneticPr fontId="21"/>
  </si>
  <si>
    <t>3.2.1</t>
    <phoneticPr fontId="21"/>
  </si>
  <si>
    <t>消火剤</t>
    <phoneticPr fontId="21"/>
  </si>
  <si>
    <t>3.2.2</t>
    <phoneticPr fontId="21"/>
  </si>
  <si>
    <t>発泡剤（断熱材等）</t>
    <phoneticPr fontId="21"/>
  </si>
  <si>
    <t>(blank star)</t>
    <phoneticPr fontId="21"/>
  </si>
  <si>
    <t>LCCO2(kg-CO2/ym2)</t>
    <phoneticPr fontId="21"/>
  </si>
  <si>
    <t>オンサイト</t>
    <phoneticPr fontId="21"/>
  </si>
  <si>
    <t>オフサイト</t>
    <phoneticPr fontId="21"/>
  </si>
  <si>
    <t>％</t>
    <phoneticPr fontId="21"/>
  </si>
  <si>
    <t>Sum</t>
    <phoneticPr fontId="21"/>
  </si>
  <si>
    <r>
      <t>2-4</t>
    </r>
    <r>
      <rPr>
        <b/>
        <sz val="12"/>
        <color indexed="9"/>
        <rFont val="ＭＳ Ｐゴシック"/>
        <family val="3"/>
        <charset val="128"/>
      </rPr>
      <t>　中項目の評価（バーチャート）</t>
    </r>
    <phoneticPr fontId="21"/>
  </si>
  <si>
    <t>Q-2 サービス性能</t>
    <phoneticPr fontId="21"/>
  </si>
  <si>
    <t>Score(RoundDown)</t>
    <phoneticPr fontId="21"/>
  </si>
  <si>
    <t>NA</t>
    <phoneticPr fontId="21"/>
  </si>
  <si>
    <t>まちなみ景観</t>
    <phoneticPr fontId="21"/>
  </si>
  <si>
    <r>
      <t>LR</t>
    </r>
    <r>
      <rPr>
        <b/>
        <sz val="11"/>
        <color indexed="42"/>
        <rFont val="ＭＳ Ｐゴシック"/>
        <family val="3"/>
        <charset val="128"/>
      </rPr>
      <t>　環境負荷低減性</t>
    </r>
    <phoneticPr fontId="21"/>
  </si>
  <si>
    <r>
      <t>LR</t>
    </r>
    <r>
      <rPr>
        <b/>
        <i/>
        <sz val="14"/>
        <color indexed="9"/>
        <rFont val="ＭＳ Ｐゴシック"/>
        <family val="3"/>
        <charset val="128"/>
      </rPr>
      <t>のスコア</t>
    </r>
    <r>
      <rPr>
        <b/>
        <i/>
        <sz val="14"/>
        <color indexed="9"/>
        <rFont val="Arial"/>
        <family val="2"/>
      </rPr>
      <t>=</t>
    </r>
    <phoneticPr fontId="21"/>
  </si>
  <si>
    <t>Score(RoundDown)</t>
    <phoneticPr fontId="21"/>
  </si>
  <si>
    <t>Score</t>
    <phoneticPr fontId="21"/>
  </si>
  <si>
    <t>LR-1 エネルギー</t>
    <phoneticPr fontId="21"/>
  </si>
  <si>
    <t>Score(RoundDown)</t>
    <phoneticPr fontId="21"/>
  </si>
  <si>
    <t>NA</t>
    <phoneticPr fontId="21"/>
  </si>
  <si>
    <t>集成材</t>
    <rPh sb="0" eb="3">
      <t>シュウセイザイ</t>
    </rPh>
    <phoneticPr fontId="21"/>
  </si>
  <si>
    <t>鉄鋼スラグ混入路盤材</t>
    <rPh sb="0" eb="2">
      <t>テッコウ</t>
    </rPh>
    <rPh sb="5" eb="7">
      <t>コンニュウ</t>
    </rPh>
    <rPh sb="7" eb="10">
      <t>ロバンザイ</t>
    </rPh>
    <phoneticPr fontId="21"/>
  </si>
  <si>
    <t>木質系セメント板</t>
    <rPh sb="0" eb="2">
      <t>モクシツ</t>
    </rPh>
    <rPh sb="2" eb="3">
      <t>ケイ</t>
    </rPh>
    <rPh sb="7" eb="8">
      <t>イタ</t>
    </rPh>
    <phoneticPr fontId="21"/>
  </si>
  <si>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</si>
  <si>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</si>
  <si>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</si>
  <si>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</si>
  <si>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</si>
  <si>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</si>
  <si>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</si>
  <si>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</si>
  <si>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屋内用品（柱）</t>
  </si>
  <si>
    <t>屋外用品（土木建築用品：合板）</t>
  </si>
  <si>
    <t>屋内用品（梁）</t>
  </si>
  <si>
    <t>屋外用品（エクステリア）</t>
  </si>
  <si>
    <t>屋内用品（土台）</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</si>
  <si>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</si>
  <si>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</si>
  <si>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</si>
  <si>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</si>
  <si>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</si>
  <si>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</si>
  <si>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</si>
  <si>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</si>
  <si>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</si>
  <si>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</si>
  <si>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</si>
  <si>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</si>
  <si>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</si>
  <si>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</si>
  <si>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</si>
  <si>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</si>
  <si>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</si>
  <si>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</si>
  <si>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</si>
  <si>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</si>
  <si>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</si>
  <si>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</si>
  <si>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</si>
  <si>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</si>
  <si>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</si>
  <si>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1"/>
  </si>
  <si>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</si>
  <si>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</si>
  <si>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1"/>
  </si>
  <si>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</si>
  <si>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</si>
  <si>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</si>
  <si>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</si>
  <si>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1"/>
  </si>
  <si>
    <t>レベル３に対する、採光・通風が行えない。</t>
    <rPh sb="5" eb="6">
      <t>タイ</t>
    </rPh>
    <phoneticPr fontId="21"/>
  </si>
  <si>
    <t>建物全体・共用部分</t>
    <phoneticPr fontId="21"/>
  </si>
  <si>
    <t>学（小中高）</t>
    <phoneticPr fontId="21"/>
  </si>
  <si>
    <t>ホルムアルデヒド濃度が75μg/m3以下。
かつ、トルエン濃度が195μg/m3以下。</t>
    <phoneticPr fontId="21"/>
  </si>
  <si>
    <t>建築基準法を満たしており、かつ建築基準法規制対象外となる建築材料（告示対象外の建材およびJIS・JAS規格のＦ☆☆☆☆）をほぼ全面的（床・壁・天井・天井裏の面積の合計の70％以上の面積）に採用している。</t>
    <phoneticPr fontId="21"/>
  </si>
  <si>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1"/>
  </si>
  <si>
    <t xml:space="preserve">ホルムアルデヒド濃度が50μg/m3以下。
かつ、トルエン濃度が130μg/m3以下。
</t>
    <phoneticPr fontId="21"/>
  </si>
  <si>
    <t>事・学・物・飲・会・病・ホ・工・住</t>
    <phoneticPr fontId="21"/>
  </si>
  <si>
    <t>設計段階</t>
    <rPh sb="0" eb="2">
      <t>セッケイ</t>
    </rPh>
    <rPh sb="2" eb="4">
      <t>ダンカイ</t>
    </rPh>
    <phoneticPr fontId="21"/>
  </si>
  <si>
    <t>昼光利用設備が２種類以上ある、または高度な機能を有する。</t>
    <phoneticPr fontId="21"/>
  </si>
  <si>
    <t>昼光利用設備がある。</t>
    <phoneticPr fontId="21"/>
  </si>
  <si>
    <t>建物全体・共用部分</t>
    <phoneticPr fontId="21"/>
  </si>
  <si>
    <t>-</t>
    <phoneticPr fontId="21"/>
  </si>
  <si>
    <t>水平方向から見て光源が露出せずグレアを制限している器具。G2分類の器具。</t>
    <phoneticPr fontId="21"/>
  </si>
  <si>
    <t>反射板形状の工夫、ルーバー・透光性カバーなどにより十分にグレアを制限している器具。G1、G0、V分類の器具。</t>
    <phoneticPr fontId="21"/>
  </si>
  <si>
    <t>何もない。</t>
    <phoneticPr fontId="21"/>
  </si>
  <si>
    <t>スクリーン、オーニング、庇によりグレアを制御。</t>
    <phoneticPr fontId="21"/>
  </si>
  <si>
    <t>ブラインドによりグレアを制御、もしくはスクリーン、オーニング、庇のうち2種類を組み合わせてグレアを制御。</t>
    <phoneticPr fontId="21"/>
  </si>
  <si>
    <t>カーテン、スクリーン、オーニング、庇によりグレアを制御。</t>
    <phoneticPr fontId="21"/>
  </si>
  <si>
    <t>ブラインドに、スクリーン、オーニング、庇のうち１種類以上を組合せてグレアを制御。</t>
    <phoneticPr fontId="21"/>
  </si>
  <si>
    <t>ブラインドによりグレアを制御、もしくはカーテン、スクリーン、オーニング、庇のうち、２種類以上を組み合わせて制御。</t>
    <phoneticPr fontId="21"/>
  </si>
  <si>
    <t>ブラインドに、カーテン、スクリーン、オーニング、庇のうち、１種類以上を組み合わせて制御。</t>
    <phoneticPr fontId="21"/>
  </si>
  <si>
    <t>レベル３を満たさない。</t>
    <phoneticPr fontId="21"/>
  </si>
  <si>
    <t>教室内で視界に見え方を妨害するような「まぶしさ」を感じさせる強い光源がないこと。
（解説（ア）～（ウ））</t>
    <phoneticPr fontId="21"/>
  </si>
  <si>
    <t>レベル３を満たし、かつ、カーテンを使用する、などの運用面の取り組みを行っている。</t>
    <phoneticPr fontId="21"/>
  </si>
  <si>
    <t>判定基準</t>
    <phoneticPr fontId="21"/>
  </si>
  <si>
    <t>建物全体・共用部分</t>
    <phoneticPr fontId="21"/>
  </si>
  <si>
    <t>学</t>
    <phoneticPr fontId="21"/>
  </si>
  <si>
    <t>病(待)</t>
    <phoneticPr fontId="21"/>
  </si>
  <si>
    <t>ホ</t>
    <phoneticPr fontId="21"/>
  </si>
  <si>
    <t>病</t>
    <phoneticPr fontId="21"/>
  </si>
  <si>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</si>
  <si>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</si>
  <si>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</si>
  <si>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</si>
  <si>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</si>
  <si>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1"/>
  </si>
  <si>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</si>
  <si>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</si>
  <si>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</si>
  <si>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</si>
  <si>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1"/>
  </si>
  <si>
    <r>
      <t xml:space="preserve">3.3.6 </t>
    </r>
    <r>
      <rPr>
        <b/>
        <sz val="10"/>
        <rFont val="ＭＳ Ｐゴシック"/>
        <family val="3"/>
        <charset val="128"/>
      </rPr>
      <t>バックアップスペースの確保</t>
    </r>
    <rPh sb="17" eb="19">
      <t>カクホ</t>
    </rPh>
    <phoneticPr fontId="21"/>
  </si>
  <si>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</si>
  <si>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</si>
  <si>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1"/>
  </si>
  <si>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</si>
  <si>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1"/>
  </si>
  <si>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1"/>
  </si>
  <si>
    <t>昼間（am8時～pm7時）、朝・夕（am6時～am8時、pm7時～pm10時）、夜間（pm10時～翌朝6時）のいずれの計測時も下記を満たしていること</t>
    <phoneticPr fontId="21"/>
  </si>
  <si>
    <t>昼間</t>
    <phoneticPr fontId="21"/>
  </si>
  <si>
    <t>朝・夕</t>
    <phoneticPr fontId="21"/>
  </si>
  <si>
    <t>夜間</t>
    <phoneticPr fontId="21"/>
  </si>
  <si>
    <t>昼間</t>
    <phoneticPr fontId="21"/>
  </si>
  <si>
    <t>朝・夕</t>
    <phoneticPr fontId="21"/>
  </si>
  <si>
    <t>夜間</t>
    <phoneticPr fontId="21"/>
  </si>
  <si>
    <r>
      <t xml:space="preserve">3.1.2 </t>
    </r>
    <r>
      <rPr>
        <b/>
        <sz val="10"/>
        <rFont val="ＭＳ Ｐゴシック"/>
        <family val="3"/>
        <charset val="128"/>
      </rPr>
      <t>振動</t>
    </r>
    <phoneticPr fontId="21"/>
  </si>
  <si>
    <t>①光ケーブル、メタルケーブル、携帯電話網、PHS網など、通信手段の多様化を図っている。</t>
    <phoneticPr fontId="21"/>
  </si>
  <si>
    <t>②異なる電話局からの引き込みなどの、引き込みの2ルート化を図っている。</t>
    <phoneticPr fontId="21"/>
  </si>
  <si>
    <r>
      <t xml:space="preserve">3.1.1 </t>
    </r>
    <r>
      <rPr>
        <b/>
        <sz val="10"/>
        <rFont val="ＭＳ Ｐゴシック"/>
        <family val="3"/>
        <charset val="128"/>
      </rPr>
      <t>階高のゆとり</t>
    </r>
    <phoneticPr fontId="21"/>
  </si>
  <si>
    <t>病・ホ</t>
    <phoneticPr fontId="21"/>
  </si>
  <si>
    <t>住</t>
    <phoneticPr fontId="21"/>
  </si>
  <si>
    <t>3.3ｍ未満</t>
    <phoneticPr fontId="21"/>
  </si>
  <si>
    <t>3.1ｍ未満</t>
    <phoneticPr fontId="21"/>
  </si>
  <si>
    <t>2.7ｍ未満</t>
    <phoneticPr fontId="21"/>
  </si>
  <si>
    <t>3.3ｍ以上、3.5ｍ未満</t>
    <phoneticPr fontId="21"/>
  </si>
  <si>
    <t>3.1ｍ以上、3.3ｍ未満</t>
    <phoneticPr fontId="21"/>
  </si>
  <si>
    <t>3.5ｍ以上、3.7ｍ未満</t>
    <phoneticPr fontId="21"/>
  </si>
  <si>
    <t>2.8ｍ以上、2.9ｍ未満</t>
    <phoneticPr fontId="21"/>
  </si>
  <si>
    <t>3.7ｍ以上、3.9ｍ未満</t>
    <phoneticPr fontId="21"/>
  </si>
  <si>
    <t>3.9ｍ以上</t>
    <phoneticPr fontId="21"/>
  </si>
  <si>
    <t>3.7ｍ以上</t>
    <phoneticPr fontId="21"/>
  </si>
  <si>
    <t>3.0ｍ以上</t>
    <phoneticPr fontId="21"/>
  </si>
  <si>
    <r>
      <t xml:space="preserve">3.1.2 </t>
    </r>
    <r>
      <rPr>
        <b/>
        <sz val="10"/>
        <rFont val="ＭＳ Ｐゴシック"/>
        <family val="3"/>
        <charset val="128"/>
      </rPr>
      <t>空間の形状・自由さ</t>
    </r>
    <phoneticPr fontId="21"/>
  </si>
  <si>
    <t>建物全体・共用部分</t>
    <phoneticPr fontId="21"/>
  </si>
  <si>
    <t>設備システムの高効率化</t>
    <rPh sb="0" eb="2">
      <t>セツビ</t>
    </rPh>
    <rPh sb="7" eb="11">
      <t>コウコウリツカ</t>
    </rPh>
    <phoneticPr fontId="21"/>
  </si>
  <si>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</si>
  <si>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1"/>
  </si>
  <si>
    <t>心理性・快適性</t>
    <rPh sb="0" eb="2">
      <t>シンリ</t>
    </rPh>
    <rPh sb="2" eb="3">
      <t>セイ</t>
    </rPh>
    <rPh sb="4" eb="6">
      <t>カイテキ</t>
    </rPh>
    <rPh sb="6" eb="7">
      <t>セイ</t>
    </rPh>
    <phoneticPr fontId="21"/>
  </si>
  <si>
    <t>既存は事務所のみ評価</t>
    <rPh sb="0" eb="2">
      <t>キソン</t>
    </rPh>
    <rPh sb="3" eb="5">
      <t>ジム</t>
    </rPh>
    <rPh sb="5" eb="6">
      <t>ショ</t>
    </rPh>
    <rPh sb="8" eb="10">
      <t>ヒョウカ</t>
    </rPh>
    <phoneticPr fontId="21"/>
  </si>
  <si>
    <t>物・飲</t>
    <rPh sb="0" eb="1">
      <t>モノ</t>
    </rPh>
    <rPh sb="2" eb="3">
      <t>イン</t>
    </rPh>
    <phoneticPr fontId="21"/>
  </si>
  <si>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1"/>
  </si>
  <si>
    <t>３０年以上</t>
  </si>
  <si>
    <t>＜評価しない＞</t>
    <rPh sb="1" eb="3">
      <t>ヒョウカ</t>
    </rPh>
    <phoneticPr fontId="21"/>
  </si>
  <si>
    <t>既存で評価</t>
    <rPh sb="0" eb="2">
      <t>キソン</t>
    </rPh>
    <rPh sb="3" eb="5">
      <t>ヒョウカ</t>
    </rPh>
    <phoneticPr fontId="21"/>
  </si>
  <si>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</si>
  <si>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</si>
  <si>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</si>
  <si>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</si>
  <si>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1"/>
  </si>
  <si>
    <t>居住域の上下温度差や気流速度が少なくなるように配慮された空調方式＊が採用されている。上下温度差および気流速度の目標値をおおよそ2℃以内、0.15m/s程度に設定している。</t>
    <phoneticPr fontId="21"/>
  </si>
  <si>
    <t>空調居住域の上下温度差、気流速度の目標値をおおよそ2℃以内、0.2m/s程度に設定している。トイレ・浴室などを含めた全室が空調可能とし、室間温度差を無くすことができる。</t>
    <phoneticPr fontId="21"/>
  </si>
  <si>
    <t>＊　例えば、天井・床輻射冷暖房方式や床吹出し方式などを指す。</t>
    <phoneticPr fontId="21"/>
  </si>
  <si>
    <t>建物全体・共用部分</t>
    <phoneticPr fontId="21"/>
  </si>
  <si>
    <t>5℃＜ [上下温度差]</t>
    <phoneticPr fontId="21"/>
  </si>
  <si>
    <t>2℃＜ [上下温度差] ≦5℃</t>
    <phoneticPr fontId="21"/>
  </si>
  <si>
    <t>[昼光率] ＜0.5％</t>
    <phoneticPr fontId="21"/>
  </si>
  <si>
    <t>0.75％≦ [昼光率] ＜1.0％</t>
    <phoneticPr fontId="21"/>
  </si>
  <si>
    <t>集合住宅の評価</t>
    <rPh sb="0" eb="2">
      <t>シュウゴウ</t>
    </rPh>
    <rPh sb="2" eb="4">
      <t>ジュウタク</t>
    </rPh>
    <rPh sb="5" eb="7">
      <t>ヒョウカ</t>
    </rPh>
    <phoneticPr fontId="21"/>
  </si>
  <si>
    <t>LR2</t>
  </si>
  <si>
    <t>LR3</t>
  </si>
  <si>
    <t>〃</t>
  </si>
  <si>
    <t>代表的な資材の環境負荷</t>
    <rPh sb="0" eb="3">
      <t>ダイヒョウテキ</t>
    </rPh>
    <rPh sb="4" eb="6">
      <t>シザイ</t>
    </rPh>
    <rPh sb="7" eb="9">
      <t>カンキョウ</t>
    </rPh>
    <rPh sb="9" eb="11">
      <t>フカ</t>
    </rPh>
    <phoneticPr fontId="21"/>
  </si>
  <si>
    <t>建設
段階</t>
    <rPh sb="0" eb="2">
      <t>ケンセツ</t>
    </rPh>
    <rPh sb="3" eb="5">
      <t>ダンカイ</t>
    </rPh>
    <phoneticPr fontId="21"/>
  </si>
  <si>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1"/>
  </si>
  <si>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1"/>
  </si>
  <si>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1"/>
  </si>
  <si>
    <t>住まい方の提示</t>
    <rPh sb="5" eb="7">
      <t>テイジ</t>
    </rPh>
    <phoneticPr fontId="3"/>
  </si>
  <si>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</si>
  <si>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</si>
  <si>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</si>
  <si>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1"/>
  </si>
  <si>
    <t>レベル３に加え、当該住宅に採用された設備や仕様に関して、個別の建物・生活スタイルごとに対応した適切な説明がすまい手になされている。</t>
    <rPh sb="5" eb="6">
      <t>クワ</t>
    </rPh>
    <phoneticPr fontId="21"/>
  </si>
  <si>
    <t>4.1.1</t>
    <phoneticPr fontId="21"/>
  </si>
  <si>
    <t>4.1.2</t>
    <phoneticPr fontId="21"/>
  </si>
  <si>
    <t>4.2.1</t>
    <phoneticPr fontId="21"/>
  </si>
  <si>
    <t>4.2.2</t>
    <phoneticPr fontId="21"/>
  </si>
  <si>
    <t>LR1 4.1</t>
    <phoneticPr fontId="21"/>
  </si>
  <si>
    <t>LR1 4.1</t>
    <phoneticPr fontId="21"/>
  </si>
  <si>
    <t>LR1 4.2</t>
    <phoneticPr fontId="21"/>
  </si>
  <si>
    <t>住宅以外の評価</t>
    <rPh sb="0" eb="2">
      <t>じゅうたく</t>
    </rPh>
    <rPh sb="2" eb="4">
      <t>いがい</t>
    </rPh>
    <rPh sb="5" eb="7">
      <t>ひょうか</t>
    </rPh>
    <phoneticPr fontId="34" type="noConversion"/>
  </si>
  <si>
    <t>住宅の評価</t>
    <rPh sb="0" eb="2">
      <t>じゅうたく</t>
    </rPh>
    <rPh sb="3" eb="5">
      <t>ひょうか</t>
    </rPh>
    <phoneticPr fontId="34" type="noConversion"/>
  </si>
  <si>
    <t>躯体材料以外におけるリサイクル材の使用</t>
  </si>
  <si>
    <t>LPG</t>
  </si>
  <si>
    <t>LPG</t>
    <phoneticPr fontId="21"/>
  </si>
  <si>
    <t>kg-CO2/MJ</t>
    <phoneticPr fontId="21"/>
  </si>
  <si>
    <t>⑩　天井隠蔽機器の点検口は600mm×600mm以上としている。</t>
    <phoneticPr fontId="21"/>
  </si>
  <si>
    <t>⑫　専用部以外の諸設備は共用部での維持管理作業が可能となっている。</t>
    <phoneticPr fontId="21"/>
  </si>
  <si>
    <t>⑪　専用部以外の諸設備は共用部での維持管理作業が可能となっている。</t>
    <phoneticPr fontId="21"/>
  </si>
  <si>
    <t>⑬　上記以外に維持管理用機能の確保を考慮したポイントを明確にし、実施している。</t>
    <phoneticPr fontId="21"/>
  </si>
  <si>
    <t>⑫　上記以外に維持管理用機能の確保を考慮したポイントを明確にし、実施している。</t>
    <phoneticPr fontId="21"/>
  </si>
  <si>
    <t>合計＝</t>
    <phoneticPr fontId="21"/>
  </si>
  <si>
    <t>（１）</t>
    <phoneticPr fontId="1"/>
  </si>
  <si>
    <t>（２）</t>
    <phoneticPr fontId="1"/>
  </si>
  <si>
    <t>（３）</t>
    <phoneticPr fontId="1"/>
  </si>
  <si>
    <t>ポイント</t>
    <phoneticPr fontId="21"/>
  </si>
  <si>
    <t>空調管理は何も実施していない。</t>
    <phoneticPr fontId="21"/>
  </si>
  <si>
    <t>-1（レベル2）</t>
    <phoneticPr fontId="21"/>
  </si>
  <si>
    <t>延床面積比率</t>
    <rPh sb="0" eb="4">
      <t>ノベユカメンセキ</t>
    </rPh>
    <rPh sb="4" eb="6">
      <t>ヒリツ</t>
    </rPh>
    <phoneticPr fontId="21"/>
  </si>
  <si>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</si>
  <si>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</si>
  <si>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</si>
  <si>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1"/>
  </si>
  <si>
    <t>建物全体・共用部分</t>
    <phoneticPr fontId="21"/>
  </si>
  <si>
    <t>住</t>
    <phoneticPr fontId="21"/>
  </si>
  <si>
    <t>レベル３を満たさない。</t>
    <phoneticPr fontId="21"/>
  </si>
  <si>
    <t>加湿機能を有し、かつ一般的な冬期40％、夏期50％の設定で計画されている。</t>
    <phoneticPr fontId="21"/>
  </si>
  <si>
    <t>加湿機能を有し、かつ一般的な冬期40～70％、夏期50～65％。の範囲で計画されている。　　　　　　　　　　</t>
    <phoneticPr fontId="21"/>
  </si>
  <si>
    <t>評価する取組み表の評価ポイントの合計値が1ポイント</t>
    <phoneticPr fontId="21"/>
  </si>
  <si>
    <t>評価する取組み表の評価ポイントの合計値が2ポイント</t>
    <phoneticPr fontId="21"/>
  </si>
  <si>
    <t>評価する取組み表の評価ポイントの合計値が3ポイント</t>
    <phoneticPr fontId="21"/>
  </si>
  <si>
    <t>評価する取組み表の評価ポイントの合計値が4ポイント以上</t>
    <phoneticPr fontId="21"/>
  </si>
  <si>
    <t>I 自転車の利用（代替交通手段の利用）に関する取組み</t>
    <phoneticPr fontId="21"/>
  </si>
  <si>
    <t>1) 建物利用者のための適切な量の自転車置場（バイク置場を含む）の確保、駐輪場利用者の利便性への配慮（出し入れし易さ、利用し易い位置にあるなど）</t>
    <phoneticPr fontId="21"/>
  </si>
  <si>
    <t>2) その他（記述）</t>
    <phoneticPr fontId="21"/>
  </si>
  <si>
    <t>II 駐車場の確保に関する取組み</t>
    <phoneticPr fontId="21"/>
  </si>
  <si>
    <t>1) 適切な量の駐車スペースの確保（周辺道路に渋滞や路上駐車などを発生させないための措置として）</t>
    <phoneticPr fontId="21"/>
  </si>
  <si>
    <t>2) 管理用車両や荷捌き用車両の駐車施設の確保</t>
    <rPh sb="3" eb="6">
      <t>カンリヨウ</t>
    </rPh>
    <rPh sb="6" eb="8">
      <t>シャリョウ</t>
    </rPh>
    <phoneticPr fontId="21"/>
  </si>
  <si>
    <t>3) 駐車場の導入路（出入り口など）の位置や形状・数への配慮（周辺道路の渋滞緩和に資するもの）</t>
    <phoneticPr fontId="21"/>
  </si>
  <si>
    <t>4) その他（記述）</t>
    <phoneticPr fontId="21"/>
  </si>
  <si>
    <t>評価する取組み表の評価ポイントの合計値が1ポイント以下</t>
    <phoneticPr fontId="21"/>
  </si>
  <si>
    <t>評価する取組み表の評価ポイントの合計値が0ポイント</t>
    <phoneticPr fontId="21"/>
  </si>
  <si>
    <t>評価する取組み表の評価ポイントの合計値が2ポイント</t>
    <phoneticPr fontId="21"/>
  </si>
  <si>
    <t>評価する取組み表の評価ポイントの合計値が1ポイント</t>
    <phoneticPr fontId="21"/>
  </si>
  <si>
    <t>室内空調機からの騒音</t>
    <rPh sb="8" eb="10">
      <t>ソウオン</t>
    </rPh>
    <phoneticPr fontId="21"/>
  </si>
  <si>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</si>
  <si>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1"/>
  </si>
  <si>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</si>
  <si>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1"/>
  </si>
  <si>
    <r>
      <t>4.3.1 CO</t>
    </r>
    <r>
      <rPr>
        <b/>
        <vertAlign val="subscript"/>
        <sz val="10"/>
        <rFont val="Arial"/>
        <family val="2"/>
      </rPr>
      <t>2</t>
    </r>
    <r>
      <rPr>
        <b/>
        <sz val="10"/>
        <rFont val="ＭＳ Ｐゴシック"/>
        <family val="3"/>
        <charset val="128"/>
      </rPr>
      <t>の監視</t>
    </r>
    <rPh sb="10" eb="12">
      <t>カンシ</t>
    </rPh>
    <phoneticPr fontId="21"/>
  </si>
  <si>
    <t>建物全体・共用部分</t>
    <phoneticPr fontId="21"/>
  </si>
  <si>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1"/>
  </si>
  <si>
    <r>
      <t>Q2</t>
    </r>
    <r>
      <rPr>
        <b/>
        <sz val="14"/>
        <rFont val="ＭＳ Ｐゴシック"/>
        <family val="3"/>
        <charset val="128"/>
      </rPr>
      <t>　サービス性能</t>
    </r>
    <rPh sb="7" eb="9">
      <t>セイノウ</t>
    </rPh>
    <phoneticPr fontId="21"/>
  </si>
  <si>
    <t>はい</t>
    <phoneticPr fontId="21"/>
  </si>
  <si>
    <t>いいえ</t>
    <phoneticPr fontId="21"/>
  </si>
  <si>
    <t>ホ</t>
    <phoneticPr fontId="21"/>
  </si>
  <si>
    <t>　レベル　1</t>
    <phoneticPr fontId="21"/>
  </si>
  <si>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</si>
  <si>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</si>
  <si>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</si>
  <si>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</si>
  <si>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</si>
  <si>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1"/>
  </si>
  <si>
    <t>2,000㎡未満の基準で評価する。</t>
    <rPh sb="6" eb="8">
      <t>ミマン</t>
    </rPh>
    <rPh sb="9" eb="11">
      <t>キジュン</t>
    </rPh>
    <rPh sb="12" eb="14">
      <t>ヒョウカ</t>
    </rPh>
    <phoneticPr fontId="21"/>
  </si>
  <si>
    <t>評価対象外</t>
    <rPh sb="0" eb="2">
      <t>ヒョウカ</t>
    </rPh>
    <rPh sb="2" eb="4">
      <t>タイショウ</t>
    </rPh>
    <rPh sb="4" eb="5">
      <t>ガイ</t>
    </rPh>
    <phoneticPr fontId="21"/>
  </si>
  <si>
    <t>■レベル　1</t>
    <phoneticPr fontId="21"/>
  </si>
  <si>
    <t>レベル</t>
    <phoneticPr fontId="21"/>
  </si>
  <si>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</si>
  <si>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</si>
  <si>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</si>
  <si>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</si>
  <si>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</si>
  <si>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</si>
  <si>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</si>
  <si>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</si>
  <si>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1"/>
  </si>
  <si>
    <t>居室面積の1/8以上の開閉可能な窓を確保している。</t>
  </si>
  <si>
    <t>3.2.3</t>
    <phoneticPr fontId="21"/>
  </si>
  <si>
    <t>LR3</t>
    <phoneticPr fontId="34" type="noConversion"/>
  </si>
  <si>
    <t>LR</t>
    <phoneticPr fontId="21"/>
  </si>
  <si>
    <t>敷地外環境</t>
    <phoneticPr fontId="21"/>
  </si>
  <si>
    <t>2.1</t>
    <phoneticPr fontId="21"/>
  </si>
  <si>
    <t>2.1</t>
    <phoneticPr fontId="21"/>
  </si>
  <si>
    <t>2.2</t>
    <phoneticPr fontId="21"/>
  </si>
  <si>
    <t>2.3</t>
    <phoneticPr fontId="21"/>
  </si>
  <si>
    <t>2.3</t>
    <phoneticPr fontId="21"/>
  </si>
  <si>
    <t>2.3.1</t>
    <phoneticPr fontId="21"/>
  </si>
  <si>
    <t>2.3.2</t>
    <phoneticPr fontId="21"/>
  </si>
  <si>
    <t>2.3.3</t>
    <phoneticPr fontId="21"/>
  </si>
  <si>
    <t>2.3.3</t>
    <phoneticPr fontId="21"/>
  </si>
  <si>
    <t>2.3.4</t>
    <phoneticPr fontId="21"/>
  </si>
  <si>
    <t>2.3.4</t>
    <phoneticPr fontId="21"/>
  </si>
  <si>
    <t>3.1</t>
    <phoneticPr fontId="21"/>
  </si>
  <si>
    <t>3.1</t>
    <phoneticPr fontId="21"/>
  </si>
  <si>
    <t>3.1.1</t>
    <phoneticPr fontId="21"/>
  </si>
  <si>
    <t>3.1.1</t>
    <phoneticPr fontId="21"/>
  </si>
  <si>
    <t>3.1.2</t>
    <phoneticPr fontId="21"/>
  </si>
  <si>
    <t>3.1.3</t>
    <phoneticPr fontId="21"/>
  </si>
  <si>
    <t>3.2</t>
    <phoneticPr fontId="21"/>
  </si>
  <si>
    <t>風害、日照阻害の抑制</t>
    <phoneticPr fontId="34" type="noConversion"/>
  </si>
  <si>
    <t>3.2.1</t>
    <phoneticPr fontId="21"/>
  </si>
  <si>
    <t>風害の抑制</t>
    <phoneticPr fontId="34" type="noConversion"/>
  </si>
  <si>
    <t>3.2.2</t>
    <phoneticPr fontId="21"/>
  </si>
  <si>
    <t>LR3 3.2</t>
    <phoneticPr fontId="21"/>
  </si>
  <si>
    <t>3.2.3</t>
    <phoneticPr fontId="21"/>
  </si>
  <si>
    <t>3.3</t>
    <phoneticPr fontId="21"/>
  </si>
  <si>
    <t>3.3.1</t>
    <phoneticPr fontId="21"/>
  </si>
  <si>
    <t>屋外照明及び屋内照明のうち外に漏れる光への対策</t>
    <phoneticPr fontId="34" type="noConversion"/>
  </si>
  <si>
    <t>会</t>
    <phoneticPr fontId="21"/>
  </si>
  <si>
    <t>レベル</t>
    <phoneticPr fontId="21"/>
  </si>
  <si>
    <t>２０</t>
    <phoneticPr fontId="21"/>
  </si>
  <si>
    <t>２５</t>
    <phoneticPr fontId="21"/>
  </si>
  <si>
    <t>３０</t>
    <phoneticPr fontId="21"/>
  </si>
  <si>
    <t>３５</t>
    <phoneticPr fontId="21"/>
  </si>
  <si>
    <t>４０</t>
    <phoneticPr fontId="21"/>
  </si>
  <si>
    <t>４５</t>
    <phoneticPr fontId="21"/>
  </si>
  <si>
    <t>５０</t>
    <phoneticPr fontId="21"/>
  </si>
  <si>
    <t>５５</t>
    <phoneticPr fontId="21"/>
  </si>
  <si>
    <t>６０</t>
    <phoneticPr fontId="21"/>
  </si>
  <si>
    <t>ＮＣ～ＮＲ</t>
    <phoneticPr fontId="21"/>
  </si>
  <si>
    <t>１０～１５</t>
    <phoneticPr fontId="21"/>
  </si>
  <si>
    <t>１５～２０</t>
    <phoneticPr fontId="21"/>
  </si>
  <si>
    <t>２０～２５</t>
    <phoneticPr fontId="21"/>
  </si>
  <si>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1"/>
  </si>
  <si>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1"/>
  </si>
  <si>
    <t>評価内容</t>
    <rPh sb="0" eb="2">
      <t>ヒョウカ</t>
    </rPh>
    <rPh sb="2" eb="4">
      <t>ナイヨウ</t>
    </rPh>
    <phoneticPr fontId="21"/>
  </si>
  <si>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</si>
  <si>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</si>
  <si>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1"/>
  </si>
  <si>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1"/>
  </si>
  <si>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</si>
  <si>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</si>
  <si>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1"/>
  </si>
  <si>
    <t>評価ポイント</t>
    <rPh sb="0" eb="2">
      <t>ヒョウカ</t>
    </rPh>
    <phoneticPr fontId="21"/>
  </si>
  <si>
    <t>4) 感染症対策</t>
    <rPh sb="3" eb="6">
      <t>カンセンショウ</t>
    </rPh>
    <rPh sb="6" eb="8">
      <t>タイサク</t>
    </rPh>
    <phoneticPr fontId="21"/>
  </si>
  <si>
    <t>⑤　廃棄物・リサイクル・粗大ゴミのスペースを建物の延床面積に対し、十分に確保しており、かつ、搬出が容易な計画となっている。</t>
    <rPh sb="22" eb="24">
      <t>タテモノ</t>
    </rPh>
    <phoneticPr fontId="21"/>
  </si>
  <si>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1"/>
  </si>
  <si>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1"/>
  </si>
  <si>
    <t>←オプションボタン番号</t>
    <rPh sb="9" eb="11">
      <t>バンゴウ</t>
    </rPh>
    <phoneticPr fontId="21"/>
  </si>
  <si>
    <t>電力事業社名/根拠等</t>
    <rPh sb="0" eb="2">
      <t>デンリョク</t>
    </rPh>
    <rPh sb="2" eb="4">
      <t>ジギョウ</t>
    </rPh>
    <rPh sb="4" eb="6">
      <t>シャメイ</t>
    </rPh>
    <rPh sb="7" eb="9">
      <t>コンキョ</t>
    </rPh>
    <rPh sb="9" eb="10">
      <t>トウ</t>
    </rPh>
    <phoneticPr fontId="21"/>
  </si>
  <si>
    <t>排出係数</t>
    <rPh sb="0" eb="2">
      <t>ハイシュツ</t>
    </rPh>
    <rPh sb="2" eb="4">
      <t>ケイスウ</t>
    </rPh>
    <phoneticPr fontId="21"/>
  </si>
  <si>
    <t>↓事業社名</t>
    <rPh sb="1" eb="3">
      <t>ジギョウ</t>
    </rPh>
    <rPh sb="3" eb="5">
      <t>シャメイ</t>
    </rPh>
    <phoneticPr fontId="21"/>
  </si>
  <si>
    <t>↓排出係数</t>
    <rPh sb="1" eb="3">
      <t>ハイシュツ</t>
    </rPh>
    <rPh sb="3" eb="5">
      <t>ケイスウ</t>
    </rPh>
    <phoneticPr fontId="21"/>
  </si>
  <si>
    <t>排出係数</t>
    <phoneticPr fontId="21"/>
  </si>
  <si>
    <r>
      <t>kg-CO</t>
    </r>
    <r>
      <rPr>
        <vertAlign val="subscript"/>
        <sz val="10"/>
        <rFont val="ＭＳ Ｐゴシック"/>
        <family val="3"/>
        <charset val="128"/>
      </rPr>
      <t>2</t>
    </r>
    <r>
      <rPr>
        <sz val="10"/>
        <rFont val="ＭＳ Ｐゴシック"/>
        <family val="3"/>
        <charset val="128"/>
      </rPr>
      <t>/MJ</t>
    </r>
    <phoneticPr fontId="21"/>
  </si>
  <si>
    <t>住宅　共用部</t>
    <rPh sb="0" eb="2">
      <t>ジュウタク</t>
    </rPh>
    <rPh sb="3" eb="6">
      <t>キョウヨウブ</t>
    </rPh>
    <phoneticPr fontId="21"/>
  </si>
  <si>
    <t>一次エネ消費量　GJ/年</t>
    <phoneticPr fontId="21"/>
  </si>
  <si>
    <t>評価建物②</t>
    <rPh sb="0" eb="2">
      <t>ヒョウカ</t>
    </rPh>
    <rPh sb="2" eb="4">
      <t>タテモノ</t>
    </rPh>
    <phoneticPr fontId="21"/>
  </si>
  <si>
    <t>参照建物①</t>
    <rPh sb="0" eb="2">
      <t>サンショウ</t>
    </rPh>
    <rPh sb="2" eb="4">
      <t>タテモノ</t>
    </rPh>
    <phoneticPr fontId="21"/>
  </si>
  <si>
    <t>評価建物③</t>
    <rPh sb="0" eb="2">
      <t>ヒョウカ</t>
    </rPh>
    <rPh sb="2" eb="4">
      <t>タテモノ</t>
    </rPh>
    <phoneticPr fontId="21"/>
  </si>
  <si>
    <t>雑排水等を利用していない。</t>
    <rPh sb="3" eb="4">
      <t>トウ</t>
    </rPh>
    <rPh sb="5" eb="7">
      <t>リヨウ</t>
    </rPh>
    <phoneticPr fontId="1"/>
  </si>
  <si>
    <t>雑排水等を利用している。</t>
    <rPh sb="3" eb="4">
      <t>トウ</t>
    </rPh>
    <rPh sb="5" eb="7">
      <t>リヨウ</t>
    </rPh>
    <phoneticPr fontId="1"/>
  </si>
  <si>
    <t>2種類以上の雑排水等を利用している。</t>
    <rPh sb="1" eb="3">
      <t>シュルイ</t>
    </rPh>
    <rPh sb="3" eb="5">
      <t>イジョウ</t>
    </rPh>
    <rPh sb="6" eb="7">
      <t>ザツ</t>
    </rPh>
    <rPh sb="7" eb="9">
      <t>ハイスイ</t>
    </rPh>
    <rPh sb="9" eb="10">
      <t>トウ</t>
    </rPh>
    <rPh sb="11" eb="13">
      <t>リヨウ</t>
    </rPh>
    <phoneticPr fontId="1"/>
  </si>
  <si>
    <t>⑤　専用の清掃用流しや水道を設置している。</t>
    <rPh sb="2" eb="4">
      <t>センヨウ</t>
    </rPh>
    <rPh sb="5" eb="8">
      <t>セイソウヨウ</t>
    </rPh>
    <rPh sb="8" eb="9">
      <t>ナガ</t>
    </rPh>
    <rPh sb="11" eb="13">
      <t>スイドウ</t>
    </rPh>
    <rPh sb="14" eb="16">
      <t>セッチ</t>
    </rPh>
    <phoneticPr fontId="21"/>
  </si>
  <si>
    <t>合計＝</t>
    <phoneticPr fontId="21"/>
  </si>
  <si>
    <t>該当資材がグリーン購入法における「特定調達品目」または「エコマーク商品」に認定されている場合、採用とみなす。</t>
    <phoneticPr fontId="21"/>
  </si>
  <si>
    <t>LR1</t>
  </si>
  <si>
    <t>冬期24℃、夏期24℃の室温を実現することが可能な設備容量が確保されている。</t>
    <phoneticPr fontId="21"/>
  </si>
  <si>
    <t>建物全体・共用部分</t>
    <phoneticPr fontId="21"/>
  </si>
  <si>
    <t>高度な負荷変動追従ができるような制御システムである。</t>
    <phoneticPr fontId="21"/>
  </si>
  <si>
    <t>住</t>
    <phoneticPr fontId="21"/>
  </si>
  <si>
    <t>窓,外壁,屋根や床（特にピロティ）において室内への熱の侵入に対しての配慮が十分でなく、日射遮蔽性能や断熱性能が低い。</t>
    <phoneticPr fontId="21"/>
  </si>
  <si>
    <t>窓,外壁,屋根や床（特にピロティ）において、室内への熱の侵入に対しての配慮がなされており、実用上、日射遮蔽性能および断熱性能に問題がない。</t>
    <phoneticPr fontId="21"/>
  </si>
  <si>
    <t>窓,外壁,屋根や床（特にピロティ）において、室内への熱の侵入に対して、十分な配慮がなされており、最良の日射遮蔽性能および断熱性能を有する。</t>
    <phoneticPr fontId="21"/>
  </si>
  <si>
    <t>空調システムの例</t>
    <phoneticPr fontId="21"/>
  </si>
  <si>
    <t>方位別やペリメータとインテリア別などの区別が無く、１系統で空調システムが計画されており、季節別に冷暖切り替えが必要である。</t>
    <phoneticPr fontId="21"/>
  </si>
  <si>
    <t>一般的な冬期23℃、夏期26℃の設定。</t>
    <phoneticPr fontId="21"/>
  </si>
  <si>
    <t>一般的な冬期18～20℃、夏期25～28℃の設定。</t>
    <phoneticPr fontId="21"/>
  </si>
  <si>
    <t>取組み毎に
1ポイント</t>
    <phoneticPr fontId="21"/>
  </si>
  <si>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1"/>
  </si>
  <si>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1"/>
  </si>
  <si>
    <t>事務所</t>
    <rPh sb="0" eb="2">
      <t>ジム</t>
    </rPh>
    <rPh sb="2" eb="3">
      <t>ショ</t>
    </rPh>
    <phoneticPr fontId="21"/>
  </si>
  <si>
    <t>計</t>
    <rPh sb="0" eb="1">
      <t>ケイ</t>
    </rPh>
    <phoneticPr fontId="21"/>
  </si>
  <si>
    <t>学校</t>
    <rPh sb="0" eb="2">
      <t>ガッコウ</t>
    </rPh>
    <phoneticPr fontId="21"/>
  </si>
  <si>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1"/>
  </si>
  <si>
    <t>事・学・飲・物・会・病・ホ・住・工</t>
    <rPh sb="0" eb="1">
      <t>コト</t>
    </rPh>
    <rPh sb="2" eb="3">
      <t>ガク</t>
    </rPh>
    <rPh sb="4" eb="5">
      <t>ノ</t>
    </rPh>
    <rPh sb="6" eb="7">
      <t>モノ</t>
    </rPh>
    <rPh sb="8" eb="9">
      <t>カイ</t>
    </rPh>
    <rPh sb="10" eb="11">
      <t>ビョウ</t>
    </rPh>
    <rPh sb="14" eb="15">
      <t>ジュウ</t>
    </rPh>
    <rPh sb="16" eb="17">
      <t>コウ</t>
    </rPh>
    <phoneticPr fontId="21"/>
  </si>
  <si>
    <t>フェロニッケルスラグを用いたケーソン中詰め材</t>
    <rPh sb="11" eb="12">
      <t>モチ</t>
    </rPh>
    <rPh sb="18" eb="19">
      <t>ナカ</t>
    </rPh>
    <rPh sb="19" eb="20">
      <t>ヅ</t>
    </rPh>
    <rPh sb="21" eb="22">
      <t>ザイ</t>
    </rPh>
    <phoneticPr fontId="21"/>
  </si>
  <si>
    <t>地盤改良用製鋼スラグ</t>
    <rPh sb="0" eb="2">
      <t>ジバン</t>
    </rPh>
    <rPh sb="2" eb="4">
      <t>カイリョウ</t>
    </rPh>
    <rPh sb="4" eb="5">
      <t>ヨウ</t>
    </rPh>
    <rPh sb="5" eb="7">
      <t>セイコウ</t>
    </rPh>
    <phoneticPr fontId="21"/>
  </si>
  <si>
    <t>kg-CO2/kWh</t>
  </si>
  <si>
    <t>（調整後排出係数</t>
    <rPh sb="1" eb="4">
      <t>チョウセイゴ</t>
    </rPh>
    <rPh sb="4" eb="6">
      <t>ハイシュツ</t>
    </rPh>
    <rPh sb="6" eb="8">
      <t>ケイスウ</t>
    </rPh>
    <phoneticPr fontId="21"/>
  </si>
  <si>
    <t>kg-CO2/MJ</t>
  </si>
  <si>
    <t>都市ガス</t>
    <rPh sb="0" eb="2">
      <t>トシ</t>
    </rPh>
    <phoneticPr fontId="28"/>
  </si>
  <si>
    <t>DHC</t>
  </si>
  <si>
    <t>灯油</t>
    <rPh sb="0" eb="2">
      <t>トウユ</t>
    </rPh>
    <phoneticPr fontId="28"/>
  </si>
  <si>
    <t>Ａ重油</t>
  </si>
  <si>
    <t>その他</t>
    <rPh sb="2" eb="3">
      <t>タ</t>
    </rPh>
    <phoneticPr fontId="28"/>
  </si>
  <si>
    <t>(灯油＋A重油の平均値）</t>
    <rPh sb="1" eb="3">
      <t>トウユ</t>
    </rPh>
    <rPh sb="5" eb="7">
      <t>ジュウユ</t>
    </rPh>
    <rPh sb="8" eb="11">
      <t>ヘイキンチ</t>
    </rPh>
    <phoneticPr fontId="28"/>
  </si>
  <si>
    <t>代替値</t>
  </si>
  <si>
    <t>用途別排出原単位</t>
    <rPh sb="0" eb="2">
      <t>ヨウト</t>
    </rPh>
    <rPh sb="2" eb="3">
      <t>ベツ</t>
    </rPh>
    <rPh sb="3" eb="5">
      <t>ハイシュツ</t>
    </rPh>
    <rPh sb="5" eb="8">
      <t>ゲンタンイ</t>
    </rPh>
    <phoneticPr fontId="21"/>
  </si>
  <si>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</si>
  <si>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1"/>
  </si>
  <si>
    <t>評価する取組みが2つ。</t>
  </si>
  <si>
    <t>事・学・会・病・ホ・工・住</t>
    <rPh sb="0" eb="1">
      <t>コト</t>
    </rPh>
    <rPh sb="2" eb="3">
      <t>ガク</t>
    </rPh>
    <rPh sb="4" eb="5">
      <t>カイ</t>
    </rPh>
    <rPh sb="6" eb="7">
      <t>ヤマイ</t>
    </rPh>
    <phoneticPr fontId="21"/>
  </si>
  <si>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1"/>
  </si>
  <si>
    <r>
      <t xml:space="preserve">2.4.3 </t>
    </r>
    <r>
      <rPr>
        <b/>
        <sz val="10"/>
        <rFont val="ＭＳ Ｐゴシック"/>
        <family val="3"/>
        <charset val="128"/>
      </rPr>
      <t>電気設備</t>
    </r>
    <rPh sb="6" eb="8">
      <t>デンキ</t>
    </rPh>
    <rPh sb="8" eb="10">
      <t>セツビ</t>
    </rPh>
    <phoneticPr fontId="21"/>
  </si>
  <si>
    <t>建物用途</t>
    <rPh sb="0" eb="2">
      <t>タテモノ</t>
    </rPh>
    <rPh sb="2" eb="4">
      <t>ヨウト</t>
    </rPh>
    <phoneticPr fontId="21"/>
  </si>
  <si>
    <t>空間のゆとり</t>
    <rPh sb="0" eb="2">
      <t>クウカン</t>
    </rPh>
    <phoneticPr fontId="21"/>
  </si>
  <si>
    <t>事・学・物・飲・病・工</t>
    <rPh sb="8" eb="9">
      <t>ヤマイ</t>
    </rPh>
    <rPh sb="10" eb="11">
      <t>コウ</t>
    </rPh>
    <phoneticPr fontId="21"/>
  </si>
  <si>
    <t>事・学・物・飲・病・工【&lt;2000㎡】</t>
    <rPh sb="8" eb="9">
      <t>ヤマイ</t>
    </rPh>
    <rPh sb="10" eb="11">
      <t>コウ</t>
    </rPh>
    <phoneticPr fontId="21"/>
  </si>
  <si>
    <t>3.3ｍ以上、3.5ｍ未満</t>
  </si>
  <si>
    <t>2.7ｍ以上、2.8ｍ未満</t>
  </si>
  <si>
    <t>3.7ｍ以上、3.9ｍ未満</t>
  </si>
  <si>
    <t>2.9ｍ以上、3.0ｍ未満</t>
  </si>
  <si>
    <t>事・学・物・飲・会・病・工</t>
    <rPh sb="12" eb="13">
      <t>コウ</t>
    </rPh>
    <phoneticPr fontId="21"/>
  </si>
  <si>
    <t>0.7≦　[壁長さ比率]</t>
  </si>
  <si>
    <t>0.5≦　[壁長さ比率] ＜0.7</t>
  </si>
  <si>
    <t>0.3≦　[壁長さ比率] ＜0.5</t>
  </si>
  <si>
    <t>0.1≦　[壁長さ比率] ＜0.3</t>
  </si>
  <si>
    <t>壁長さ比率＝</t>
    <rPh sb="0" eb="1">
      <t>カベ</t>
    </rPh>
    <rPh sb="1" eb="2">
      <t>ナガ</t>
    </rPh>
    <rPh sb="3" eb="5">
      <t>ヒリツ</t>
    </rPh>
    <phoneticPr fontId="21"/>
  </si>
  <si>
    <t>荷重のゆとり</t>
    <rPh sb="0" eb="2">
      <t>カジュウ</t>
    </rPh>
    <phoneticPr fontId="21"/>
  </si>
  <si>
    <t>事・物・飲・会（固定席）・病・工</t>
    <rPh sb="0" eb="1">
      <t>コト</t>
    </rPh>
    <rPh sb="2" eb="3">
      <t>モノ</t>
    </rPh>
    <rPh sb="4" eb="5">
      <t>イン</t>
    </rPh>
    <rPh sb="6" eb="7">
      <t>カイ</t>
    </rPh>
    <rPh sb="8" eb="10">
      <t>コテイ</t>
    </rPh>
    <rPh sb="10" eb="11">
      <t>セキ</t>
    </rPh>
    <rPh sb="15" eb="16">
      <t>コウ</t>
    </rPh>
    <phoneticPr fontId="21"/>
  </si>
  <si>
    <t>会（非固定席）</t>
    <rPh sb="0" eb="1">
      <t>カイ</t>
    </rPh>
    <rPh sb="2" eb="3">
      <t>ヒ</t>
    </rPh>
    <rPh sb="3" eb="5">
      <t>コテイ</t>
    </rPh>
    <rPh sb="5" eb="6">
      <t>セキ</t>
    </rPh>
    <phoneticPr fontId="21"/>
  </si>
  <si>
    <t>（該当するレベルなし）</t>
  </si>
  <si>
    <t>2900N/㎡未満</t>
    <phoneticPr fontId="21"/>
  </si>
  <si>
    <t>3500N/㎡未満</t>
    <phoneticPr fontId="21"/>
  </si>
  <si>
    <t>2300N/㎡未満</t>
    <phoneticPr fontId="21"/>
  </si>
  <si>
    <t>1800N/㎡未満</t>
    <phoneticPr fontId="21"/>
  </si>
  <si>
    <t>2900N/㎡以上～3500N/㎡未満</t>
    <phoneticPr fontId="21"/>
  </si>
  <si>
    <t>3500N/㎡以上～4200N/㎡未満</t>
    <phoneticPr fontId="21"/>
  </si>
  <si>
    <t>LR3</t>
    <phoneticPr fontId="21"/>
  </si>
  <si>
    <t>塗り床材</t>
    <rPh sb="0" eb="1">
      <t>ヌ</t>
    </rPh>
    <rPh sb="2" eb="3">
      <t>ユカ</t>
    </rPh>
    <rPh sb="3" eb="4">
      <t>ザイ</t>
    </rPh>
    <phoneticPr fontId="21"/>
  </si>
  <si>
    <t>床仕上げ</t>
    <rPh sb="0" eb="1">
      <t>ユカ</t>
    </rPh>
    <rPh sb="1" eb="3">
      <t>シア</t>
    </rPh>
    <phoneticPr fontId="21"/>
  </si>
  <si>
    <t>床仕上げワックス</t>
    <rPh sb="0" eb="1">
      <t>ユカ</t>
    </rPh>
    <rPh sb="1" eb="3">
      <t>シア</t>
    </rPh>
    <phoneticPr fontId="21"/>
  </si>
  <si>
    <t>防腐剤</t>
    <rPh sb="0" eb="3">
      <t>ボウフザイ</t>
    </rPh>
    <phoneticPr fontId="21"/>
  </si>
  <si>
    <t>平均気流速度</t>
    <rPh sb="0" eb="2">
      <t>ヘイキン</t>
    </rPh>
    <rPh sb="2" eb="4">
      <t>キリュウ</t>
    </rPh>
    <rPh sb="4" eb="6">
      <t>ソクド</t>
    </rPh>
    <phoneticPr fontId="21"/>
  </si>
  <si>
    <t>光・視環境</t>
    <rPh sb="0" eb="1">
      <t>ﾋｶﾘ</t>
    </rPh>
    <rPh sb="2" eb="3">
      <t>ｼ</t>
    </rPh>
    <rPh sb="3" eb="5">
      <t>ｶﾝｷｮｳ</t>
    </rPh>
    <phoneticPr fontId="34" type="noConversion"/>
  </si>
  <si>
    <t>昼光利用</t>
    <rPh sb="0" eb="1">
      <t>ﾋﾙ</t>
    </rPh>
    <rPh sb="1" eb="2">
      <t>ﾋｶﾘ</t>
    </rPh>
    <rPh sb="2" eb="4">
      <t>ﾘﾖｳ</t>
    </rPh>
    <phoneticPr fontId="34" type="noConversion"/>
  </si>
  <si>
    <t>昼光率</t>
    <rPh sb="0" eb="1">
      <t>ヒル</t>
    </rPh>
    <rPh sb="1" eb="2">
      <t>ヒカリ</t>
    </rPh>
    <rPh sb="2" eb="3">
      <t>リツ</t>
    </rPh>
    <phoneticPr fontId="21"/>
  </si>
  <si>
    <t>方位別開口</t>
    <rPh sb="0" eb="2">
      <t>ホウイ</t>
    </rPh>
    <rPh sb="2" eb="3">
      <t>ベツ</t>
    </rPh>
    <rPh sb="3" eb="5">
      <t>カイコウ</t>
    </rPh>
    <phoneticPr fontId="21"/>
  </si>
  <si>
    <t>昼光利用設備</t>
    <rPh sb="0" eb="1">
      <t>ヒル</t>
    </rPh>
    <rPh sb="1" eb="2">
      <t>ヒカリ</t>
    </rPh>
    <rPh sb="2" eb="4">
      <t>リヨウ</t>
    </rPh>
    <rPh sb="4" eb="6">
      <t>セツビ</t>
    </rPh>
    <phoneticPr fontId="21"/>
  </si>
  <si>
    <t>グレア対策</t>
    <rPh sb="3" eb="5">
      <t>ﾀｲｻｸ</t>
    </rPh>
    <phoneticPr fontId="34" type="noConversion"/>
  </si>
  <si>
    <t>照明器具のグレア</t>
    <rPh sb="0" eb="2">
      <t>ショウメイ</t>
    </rPh>
    <rPh sb="2" eb="4">
      <t>キグ</t>
    </rPh>
    <phoneticPr fontId="21"/>
  </si>
  <si>
    <t>昼光制御</t>
    <rPh sb="0" eb="1">
      <t>ヒル</t>
    </rPh>
    <rPh sb="1" eb="2">
      <t>ヒカリ</t>
    </rPh>
    <rPh sb="2" eb="4">
      <t>セイギョ</t>
    </rPh>
    <phoneticPr fontId="21"/>
  </si>
  <si>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</si>
  <si>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1"/>
  </si>
  <si>
    <t>建物全体・共用部分</t>
    <phoneticPr fontId="21"/>
  </si>
  <si>
    <r>
      <t xml:space="preserve">4.3.2 </t>
    </r>
    <r>
      <rPr>
        <b/>
        <sz val="10"/>
        <rFont val="ＭＳ Ｐゴシック"/>
        <family val="3"/>
        <charset val="128"/>
      </rPr>
      <t>喫煙の制御</t>
    </r>
    <rPh sb="6" eb="8">
      <t>キツエン</t>
    </rPh>
    <rPh sb="9" eb="11">
      <t>セイギョ</t>
    </rPh>
    <phoneticPr fontId="21"/>
  </si>
  <si>
    <t>事・学・物・飲・会・工</t>
    <rPh sb="10" eb="11">
      <t>コウ</t>
    </rPh>
    <phoneticPr fontId="21"/>
  </si>
  <si>
    <t>事・学・物・飲・会・病(待)・ホ・工</t>
    <rPh sb="10" eb="11">
      <t>ヤマイ</t>
    </rPh>
    <rPh sb="12" eb="13">
      <t>マ</t>
    </rPh>
    <rPh sb="17" eb="18">
      <t>コウ</t>
    </rPh>
    <phoneticPr fontId="21"/>
  </si>
  <si>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</si>
  <si>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</si>
  <si>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</si>
  <si>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</si>
  <si>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</si>
  <si>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1"/>
  </si>
  <si>
    <t>事・工</t>
    <rPh sb="0" eb="1">
      <t>コト</t>
    </rPh>
    <rPh sb="2" eb="3">
      <t>コウ</t>
    </rPh>
    <phoneticPr fontId="21"/>
  </si>
  <si>
    <t>病</t>
    <rPh sb="0" eb="1">
      <t>ビョウ</t>
    </rPh>
    <phoneticPr fontId="21"/>
  </si>
  <si>
    <t>HCFC－124</t>
  </si>
  <si>
    <t>HCFC－141b</t>
  </si>
  <si>
    <t>HCFC－142b</t>
  </si>
  <si>
    <t>HCFC－225ca</t>
  </si>
  <si>
    <t>HCFC－225cb</t>
  </si>
  <si>
    <t>HFC－23</t>
  </si>
  <si>
    <t>レベル３（代替フロン）</t>
    <rPh sb="5" eb="7">
      <t>ダイタイ</t>
    </rPh>
    <phoneticPr fontId="21"/>
  </si>
  <si>
    <t>HFC－32</t>
  </si>
  <si>
    <t>HFC－125</t>
  </si>
  <si>
    <t>HFC－134a</t>
  </si>
  <si>
    <t>HFC－143a</t>
  </si>
  <si>
    <t>HFC－152a</t>
  </si>
  <si>
    <t>HFC－227ea</t>
  </si>
  <si>
    <t>HFC－236fa</t>
  </si>
  <si>
    <t>診療室</t>
    <rPh sb="0" eb="3">
      <t>シンリョウシツ</t>
    </rPh>
    <phoneticPr fontId="21"/>
  </si>
  <si>
    <t>検査室</t>
    <rPh sb="0" eb="3">
      <t>ケンサシツ</t>
    </rPh>
    <phoneticPr fontId="21"/>
  </si>
  <si>
    <t>は（60㎡以上、90㎡未満）</t>
    <rPh sb="5" eb="7">
      <t>イジョウ</t>
    </rPh>
    <rPh sb="11" eb="13">
      <t>ミマン</t>
    </rPh>
    <phoneticPr fontId="21"/>
  </si>
  <si>
    <t>に（90㎡以上、120㎡未満）</t>
    <rPh sb="5" eb="7">
      <t>イジョウ</t>
    </rPh>
    <rPh sb="12" eb="14">
      <t>ミマン</t>
    </rPh>
    <phoneticPr fontId="21"/>
  </si>
  <si>
    <t>ほ（120㎡以上）</t>
    <rPh sb="6" eb="8">
      <t>イジョウ</t>
    </rPh>
    <phoneticPr fontId="21"/>
  </si>
  <si>
    <t>面積比率</t>
    <rPh sb="0" eb="2">
      <t>メンセキ</t>
    </rPh>
    <rPh sb="2" eb="4">
      <t>ヒリツ</t>
    </rPh>
    <phoneticPr fontId="21"/>
  </si>
  <si>
    <t>住戸数</t>
    <rPh sb="0" eb="1">
      <t>ジュウ</t>
    </rPh>
    <rPh sb="1" eb="3">
      <t>コスウ</t>
    </rPh>
    <phoneticPr fontId="21"/>
  </si>
  <si>
    <t>出光グリーンパワー株式会社</t>
  </si>
  <si>
    <t>伊藤忠エネクス株式会社</t>
  </si>
  <si>
    <t>荏原環境プラント株式会社</t>
  </si>
  <si>
    <t>オリックス株式会社</t>
  </si>
  <si>
    <t>株式会社イーセル</t>
  </si>
  <si>
    <t>株式会社Ｇ－Ｐｏｗｅｒ</t>
  </si>
  <si>
    <t>株式会社日本セレモニー</t>
  </si>
  <si>
    <t>ＪＸ日鉱日石エネルギー株式会社</t>
  </si>
  <si>
    <t>ＪＥＮホールディングス株式会社</t>
  </si>
  <si>
    <t>志賀高原リゾート開発株式会社</t>
  </si>
  <si>
    <t>新日鉄住金エンジニアリング株式会社</t>
  </si>
  <si>
    <t>泉北天然ガス発電株式会社</t>
  </si>
  <si>
    <t>テス・エンジニアリング株式会社</t>
  </si>
  <si>
    <t>東京エコサービス株式会社</t>
  </si>
  <si>
    <t>日本テクノ株式会社</t>
  </si>
  <si>
    <t>日本ロジテック協同組合</t>
  </si>
  <si>
    <t>プレミアムグリーンパワー株式会社</t>
  </si>
  <si>
    <t>ミツウロコグリーンエネルギー株式会社</t>
  </si>
  <si>
    <t>リエスパワー株式会社</t>
  </si>
  <si>
    <t>平成２４年度の電気事業者別実排出係数等の公表値</t>
    <rPh sb="22" eb="23">
      <t>チ</t>
    </rPh>
    <phoneticPr fontId="21"/>
  </si>
  <si>
    <t>延床面積500㎡未満の建築物は
レベル3とする。
注）500㎡未満の建物は直接入力により、レベル３を選択してください。</t>
    <rPh sb="0" eb="2">
      <t>ノベユカ</t>
    </rPh>
    <rPh sb="2" eb="4">
      <t>メンセキ</t>
    </rPh>
    <rPh sb="8" eb="10">
      <t>ミマン</t>
    </rPh>
    <rPh sb="27" eb="28">
      <t>チュウ</t>
    </rPh>
    <phoneticPr fontId="21"/>
  </si>
  <si>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1"/>
  </si>
  <si>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1"/>
  </si>
  <si>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1"/>
  </si>
  <si>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1"/>
  </si>
  <si>
    <t>①　建物の延床面積に対し、十分なスペースの清掃員控え室の設置をしている。</t>
    <rPh sb="2" eb="4">
      <t>タテモノ</t>
    </rPh>
    <phoneticPr fontId="21"/>
  </si>
  <si>
    <t>②　建物の延床面積に対し、十分なスペースの清掃用具室と管理倉庫の設置をしている。</t>
    <rPh sb="2" eb="4">
      <t>タテモノ</t>
    </rPh>
    <rPh sb="27" eb="29">
      <t>カンリ</t>
    </rPh>
    <rPh sb="29" eb="31">
      <t>ソウコ</t>
    </rPh>
    <phoneticPr fontId="21"/>
  </si>
  <si>
    <t>Lr-55</t>
    <phoneticPr fontId="21"/>
  </si>
  <si>
    <t>Lr-60</t>
    <phoneticPr fontId="21"/>
  </si>
  <si>
    <t>Lr-50</t>
    <phoneticPr fontId="21"/>
  </si>
  <si>
    <t>Lr-45</t>
    <phoneticPr fontId="21"/>
  </si>
  <si>
    <t>Lr-50　またはそれより良い</t>
    <phoneticPr fontId="21"/>
  </si>
  <si>
    <t>全般照明方式の場合で室内にかなり不快に感じる程度の非常に暗い部分がある。</t>
    <phoneticPr fontId="21"/>
  </si>
  <si>
    <t>マルチユニット型ヒートポンプ方式（冷暖同時）、二重ダクト方式（ＡＨＵで４管式）、４管式ＦＣＵ方式レベル３，４以上の細かなゾーニング（４０m2程度）による。</t>
    <phoneticPr fontId="21"/>
  </si>
  <si>
    <r>
      <t xml:space="preserve">2.1.5 </t>
    </r>
    <r>
      <rPr>
        <b/>
        <sz val="10"/>
        <rFont val="ＭＳ Ｐゴシック"/>
        <family val="3"/>
        <charset val="128"/>
      </rPr>
      <t>温度・湿度制御</t>
    </r>
    <rPh sb="6" eb="8">
      <t>オンド</t>
    </rPh>
    <rPh sb="9" eb="11">
      <t>シツド</t>
    </rPh>
    <rPh sb="11" eb="13">
      <t>セイギョ</t>
    </rPh>
    <phoneticPr fontId="21"/>
  </si>
  <si>
    <t>事・学・物・飲・会・病・ホ・工・住</t>
    <rPh sb="16" eb="17">
      <t>ジュウ</t>
    </rPh>
    <phoneticPr fontId="21"/>
  </si>
  <si>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</si>
  <si>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</si>
  <si>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</si>
  <si>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</si>
  <si>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1"/>
  </si>
  <si>
    <t>住</t>
    <rPh sb="0" eb="1">
      <t>ジュウ</t>
    </rPh>
    <phoneticPr fontId="21"/>
  </si>
  <si>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</si>
  <si>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</si>
  <si>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</si>
  <si>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</si>
  <si>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</si>
  <si>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1"/>
  </si>
  <si>
    <t>事・学・病・ホ・工</t>
    <rPh sb="4" eb="5">
      <t>ヤマイ</t>
    </rPh>
    <rPh sb="8" eb="9">
      <t>コウ</t>
    </rPh>
    <phoneticPr fontId="21"/>
  </si>
  <si>
    <t>物・飲</t>
    <rPh sb="2" eb="3">
      <t>イン</t>
    </rPh>
    <phoneticPr fontId="21"/>
  </si>
  <si>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</si>
  <si>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</si>
  <si>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1"/>
  </si>
  <si>
    <t>Quality</t>
    <phoneticPr fontId="21"/>
  </si>
  <si>
    <r>
      <t>L</t>
    </r>
    <r>
      <rPr>
        <sz val="8"/>
        <color indexed="10"/>
        <rFont val="ＭＳ Ｐゴシック"/>
        <family val="3"/>
        <charset val="128"/>
      </rPr>
      <t>：</t>
    </r>
    <r>
      <rPr>
        <sz val="8"/>
        <color indexed="10"/>
        <rFont val="Arial"/>
        <family val="2"/>
      </rPr>
      <t>Load</t>
    </r>
    <phoneticPr fontId="21"/>
  </si>
  <si>
    <r>
      <t>LR</t>
    </r>
    <r>
      <rPr>
        <sz val="8"/>
        <color indexed="10"/>
        <rFont val="ＭＳ Ｐゴシック"/>
        <family val="3"/>
        <charset val="128"/>
      </rPr>
      <t>：</t>
    </r>
    <r>
      <rPr>
        <sz val="8"/>
        <color indexed="10"/>
        <rFont val="Arial"/>
        <family val="2"/>
      </rPr>
      <t>Load Reduction</t>
    </r>
    <phoneticPr fontId="21"/>
  </si>
  <si>
    <r>
      <t>SQ</t>
    </r>
    <r>
      <rPr>
        <sz val="8"/>
        <color indexed="10"/>
        <rFont val="ＭＳ Ｐゴシック"/>
        <family val="3"/>
        <charset val="128"/>
      </rPr>
      <t>：</t>
    </r>
    <r>
      <rPr>
        <sz val="8"/>
        <color indexed="10"/>
        <rFont val="Arial"/>
        <family val="2"/>
      </rPr>
      <t>Score of Q category</t>
    </r>
    <phoneticPr fontId="21"/>
  </si>
  <si>
    <r>
      <t>SLR</t>
    </r>
    <r>
      <rPr>
        <sz val="8"/>
        <color indexed="10"/>
        <rFont val="ＭＳ Ｐゴシック"/>
        <family val="3"/>
        <charset val="128"/>
      </rPr>
      <t>：</t>
    </r>
    <r>
      <rPr>
        <sz val="8"/>
        <color indexed="10"/>
        <rFont val="Arial"/>
        <family val="2"/>
      </rPr>
      <t>Score of LR category</t>
    </r>
    <phoneticPr fontId="21"/>
  </si>
  <si>
    <r>
      <t>BEE</t>
    </r>
    <r>
      <rPr>
        <sz val="8"/>
        <color indexed="10"/>
        <rFont val="ＭＳ Ｐゴシック"/>
        <family val="3"/>
        <charset val="128"/>
      </rPr>
      <t>：</t>
    </r>
    <r>
      <rPr>
        <sz val="8"/>
        <color indexed="10"/>
        <rFont val="Arial"/>
        <family val="2"/>
      </rPr>
      <t>Building Environmental Efficiency</t>
    </r>
    <phoneticPr fontId="21"/>
  </si>
  <si>
    <t>(3)の評価はオプションとし、実施設計段階および竣工段階で可能な範囲で記入する。</t>
    <phoneticPr fontId="21"/>
  </si>
  <si>
    <t>配慮項目</t>
    <phoneticPr fontId="21"/>
  </si>
  <si>
    <t>環境配慮設計の概要記入欄</t>
    <phoneticPr fontId="21"/>
  </si>
  <si>
    <t>全体</t>
    <phoneticPr fontId="21"/>
  </si>
  <si>
    <t>weight(set)</t>
    <phoneticPr fontId="21"/>
  </si>
  <si>
    <t>Ｑ　建築物の環境品質</t>
    <phoneticPr fontId="21"/>
  </si>
  <si>
    <t>Q1</t>
    <phoneticPr fontId="34" type="noConversion"/>
  </si>
  <si>
    <t>温度・湿度制御</t>
    <phoneticPr fontId="21"/>
  </si>
  <si>
    <t>Q2</t>
    <phoneticPr fontId="34" type="noConversion"/>
  </si>
  <si>
    <t>サービス性能</t>
    <phoneticPr fontId="21"/>
  </si>
  <si>
    <t>リフレッシュスペース</t>
    <phoneticPr fontId="21"/>
  </si>
  <si>
    <t>空調配管の更新性</t>
    <phoneticPr fontId="21"/>
  </si>
  <si>
    <t>Q3</t>
    <phoneticPr fontId="34" type="noConversion"/>
  </si>
  <si>
    <t>室外環境（敷地内）</t>
    <phoneticPr fontId="21"/>
  </si>
  <si>
    <t>3b</t>
    <phoneticPr fontId="21"/>
  </si>
  <si>
    <t>エネルギー利用効率化設備</t>
    <phoneticPr fontId="21"/>
  </si>
  <si>
    <t>モニタリング</t>
    <phoneticPr fontId="34" type="noConversion"/>
  </si>
  <si>
    <t>LR2</t>
    <phoneticPr fontId="34" type="noConversion"/>
  </si>
  <si>
    <t>資源・マテリアル</t>
    <phoneticPr fontId="21"/>
  </si>
  <si>
    <t>LR3</t>
    <phoneticPr fontId="34" type="noConversion"/>
  </si>
  <si>
    <t>敷地外環境</t>
    <phoneticPr fontId="21"/>
  </si>
  <si>
    <t>温熱環境悪化の改善</t>
    <phoneticPr fontId="21"/>
  </si>
  <si>
    <t>雨水排水負荷低減</t>
    <phoneticPr fontId="34" type="noConversion"/>
  </si>
  <si>
    <t>汚水処理負荷抑制</t>
    <phoneticPr fontId="34" type="noConversion"/>
  </si>
  <si>
    <t>振動</t>
    <phoneticPr fontId="34" type="noConversion"/>
  </si>
  <si>
    <t>悪臭</t>
    <phoneticPr fontId="34" type="noConversion"/>
  </si>
  <si>
    <t>風害の抑制</t>
    <phoneticPr fontId="34" type="noConversion"/>
  </si>
  <si>
    <t>日照阻害の抑制</t>
    <phoneticPr fontId="34"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</si>
  <si>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1"/>
  </si>
  <si>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1"/>
  </si>
  <si>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</si>
  <si>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t>集合住宅</t>
    <phoneticPr fontId="21"/>
  </si>
  <si>
    <t>ｍ3/㎡</t>
    <phoneticPr fontId="21"/>
  </si>
  <si>
    <t>◆</t>
    <phoneticPr fontId="21"/>
  </si>
  <si>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1"/>
  </si>
  <si>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</si>
  <si>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1"/>
  </si>
  <si>
    <t>N.A.</t>
    <phoneticPr fontId="21"/>
  </si>
  <si>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1"/>
  </si>
  <si>
    <t>注）　「Q2　サービス性能」に対する配慮事項を簡潔に記載してください。</t>
    <phoneticPr fontId="21"/>
  </si>
  <si>
    <t>注）　「Q3　室外環境（敷地内）」に対する配慮事項を簡潔に記載してください。</t>
    <phoneticPr fontId="21"/>
  </si>
  <si>
    <t>LR1 
エネルギー</t>
    <phoneticPr fontId="21"/>
  </si>
  <si>
    <t>注）　「LR1　エネルギー」に対する配慮事項を簡潔に記載してください。</t>
    <phoneticPr fontId="21"/>
  </si>
  <si>
    <t>注）　「LR2　資源・マテリアル」に対する配慮事項を簡潔に記載してください。</t>
    <phoneticPr fontId="21"/>
  </si>
  <si>
    <t>注）　「LR3　敷地外環境」に対する配慮事項を簡潔に記載してください。</t>
    <phoneticPr fontId="21"/>
  </si>
  <si>
    <r>
      <t xml:space="preserve">Q1 </t>
    </r>
    <r>
      <rPr>
        <b/>
        <sz val="14"/>
        <rFont val="ＭＳ Ｐゴシック"/>
        <family val="3"/>
        <charset val="128"/>
      </rPr>
      <t>室内環境</t>
    </r>
    <rPh sb="3" eb="5">
      <t>シツナイ</t>
    </rPh>
    <rPh sb="5" eb="7">
      <t>カンキョウ</t>
    </rPh>
    <phoneticPr fontId="21"/>
  </si>
  <si>
    <t>○</t>
    <phoneticPr fontId="21"/>
  </si>
  <si>
    <t>ON</t>
    <phoneticPr fontId="21"/>
  </si>
  <si>
    <r>
      <t xml:space="preserve">1.1.1 </t>
    </r>
    <r>
      <rPr>
        <b/>
        <sz val="10"/>
        <rFont val="ＭＳ Ｐゴシック"/>
        <family val="3"/>
        <charset val="128"/>
      </rPr>
      <t>室内騒音レベル</t>
    </r>
    <phoneticPr fontId="21"/>
  </si>
  <si>
    <t>dB(A)</t>
    <phoneticPr fontId="21"/>
  </si>
  <si>
    <t>建物全体・共用部分</t>
    <phoneticPr fontId="21"/>
  </si>
  <si>
    <t>住居・宿泊部分</t>
    <phoneticPr fontId="21"/>
  </si>
  <si>
    <t>物・飲</t>
    <phoneticPr fontId="21"/>
  </si>
  <si>
    <t>小中学校</t>
    <rPh sb="0" eb="4">
      <t>ショウチュウガッコウ</t>
    </rPh>
    <phoneticPr fontId="21"/>
  </si>
  <si>
    <t>物販店</t>
    <rPh sb="0" eb="3">
      <t>ブッパンテン</t>
    </rPh>
    <phoneticPr fontId="21"/>
  </si>
  <si>
    <t>デパート・スーパー</t>
  </si>
  <si>
    <t>集会所</t>
    <rPh sb="0" eb="3">
      <t>シュウカイショ</t>
    </rPh>
    <phoneticPr fontId="21"/>
  </si>
  <si>
    <t>集会所</t>
    <rPh sb="0" eb="2">
      <t>シュウカイ</t>
    </rPh>
    <rPh sb="2" eb="3">
      <t>ジョ</t>
    </rPh>
    <phoneticPr fontId="21"/>
  </si>
  <si>
    <t>病院</t>
    <rPh sb="0" eb="2">
      <t>ビョウイン</t>
    </rPh>
    <phoneticPr fontId="21"/>
  </si>
  <si>
    <t>3）結果出力</t>
    <rPh sb="2" eb="4">
      <t>ケッカ</t>
    </rPh>
    <rPh sb="4" eb="6">
      <t>シュツリョク</t>
    </rPh>
    <phoneticPr fontId="21"/>
  </si>
  <si>
    <t>スコアシート</t>
    <phoneticPr fontId="21"/>
  </si>
  <si>
    <t>●スコア</t>
    <phoneticPr fontId="21"/>
  </si>
  <si>
    <t>評価結果表示シート</t>
    <rPh sb="0" eb="2">
      <t>ヒョウカ</t>
    </rPh>
    <rPh sb="2" eb="4">
      <t>ケッカ</t>
    </rPh>
    <rPh sb="4" eb="6">
      <t>ヒョウジ</t>
    </rPh>
    <phoneticPr fontId="21"/>
  </si>
  <si>
    <t>●結果　</t>
    <rPh sb="1" eb="3">
      <t>ケッカ</t>
    </rPh>
    <phoneticPr fontId="21"/>
  </si>
  <si>
    <r>
      <t>●</t>
    </r>
    <r>
      <rPr>
        <sz val="10"/>
        <color indexed="18"/>
        <rFont val="Arial"/>
        <family val="2"/>
      </rPr>
      <t>LCCO2</t>
    </r>
    <r>
      <rPr>
        <sz val="10"/>
        <color indexed="18"/>
        <rFont val="ＭＳ Ｐゴシック"/>
        <family val="3"/>
        <charset val="128"/>
      </rPr>
      <t>計算</t>
    </r>
    <rPh sb="6" eb="8">
      <t>ケイサン</t>
    </rPh>
    <phoneticPr fontId="21"/>
  </si>
  <si>
    <t>LCCO2算定条件シート</t>
    <rPh sb="5" eb="7">
      <t>サンテイ</t>
    </rPh>
    <rPh sb="7" eb="9">
      <t>ジョウケン</t>
    </rPh>
    <phoneticPr fontId="21"/>
  </si>
  <si>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1"/>
  </si>
  <si>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1"/>
  </si>
  <si>
    <t>発生源対策</t>
    <rPh sb="0" eb="3">
      <t>ハッセイゲン</t>
    </rPh>
    <rPh sb="3" eb="5">
      <t>タイサク</t>
    </rPh>
    <phoneticPr fontId="21"/>
  </si>
  <si>
    <r>
      <t xml:space="preserve">4.1.1 </t>
    </r>
    <r>
      <rPr>
        <b/>
        <sz val="10"/>
        <rFont val="ＭＳ Ｐゴシック"/>
        <family val="3"/>
        <charset val="128"/>
      </rPr>
      <t>化学汚染物質</t>
    </r>
    <rPh sb="6" eb="8">
      <t>カガク</t>
    </rPh>
    <rPh sb="8" eb="10">
      <t>オセン</t>
    </rPh>
    <rPh sb="10" eb="12">
      <t>ブッシツ</t>
    </rPh>
    <phoneticPr fontId="21"/>
  </si>
  <si>
    <t>事・学・物・飲・会・病・ホ・工・住</t>
    <rPh sb="2" eb="3">
      <t>ガク</t>
    </rPh>
    <rPh sb="6" eb="7">
      <t>イン</t>
    </rPh>
    <rPh sb="8" eb="9">
      <t>カイ</t>
    </rPh>
    <rPh sb="16" eb="17">
      <t>ジュウ</t>
    </rPh>
    <phoneticPr fontId="21"/>
  </si>
  <si>
    <t>病・ホ・住</t>
    <rPh sb="0" eb="1">
      <t>ヤマイ</t>
    </rPh>
    <rPh sb="4" eb="5">
      <t>ジュウ</t>
    </rPh>
    <phoneticPr fontId="21"/>
  </si>
  <si>
    <t>建築基準法を満たしている。</t>
    <phoneticPr fontId="21"/>
  </si>
  <si>
    <t>ホルムアルデヒド濃度が100μg/m3以下。
かつ、トルエン濃度が260μg/m3以下。
測定によらない場合、建築基準法を満たしている。</t>
    <phoneticPr fontId="21"/>
  </si>
  <si>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1"/>
  </si>
  <si>
    <r>
      <t xml:space="preserve">4.1.2 </t>
    </r>
    <r>
      <rPr>
        <b/>
        <sz val="10"/>
        <rFont val="ＭＳ Ｐゴシック"/>
        <family val="3"/>
        <charset val="128"/>
      </rPr>
      <t>アスベスト対策</t>
    </r>
    <rPh sb="11" eb="13">
      <t>タイサク</t>
    </rPh>
    <phoneticPr fontId="21"/>
  </si>
  <si>
    <t>既存のみ評価</t>
    <rPh sb="0" eb="2">
      <t>キソン</t>
    </rPh>
    <rPh sb="4" eb="6">
      <t>ヒョウカ</t>
    </rPh>
    <phoneticPr fontId="21"/>
  </si>
  <si>
    <t>吹き付けアスベスト等を使用しているが、封じ込め又は囲い込みが行われている。</t>
    <phoneticPr fontId="21"/>
  </si>
  <si>
    <t>吹き付けアスベスト等を一切使用していない。</t>
    <phoneticPr fontId="21"/>
  </si>
  <si>
    <r>
      <t xml:space="preserve">4.1.3 </t>
    </r>
    <r>
      <rPr>
        <b/>
        <sz val="10"/>
        <rFont val="ＭＳ Ｐゴシック"/>
        <family val="3"/>
        <charset val="128"/>
      </rPr>
      <t>ダニ・カビ等</t>
    </r>
    <rPh sb="11" eb="12">
      <t>トウ</t>
    </rPh>
    <phoneticPr fontId="21"/>
  </si>
  <si>
    <t>事・学・物・飲・会・病・ホ・工・住</t>
    <rPh sb="0" eb="1">
      <t>コト</t>
    </rPh>
    <rPh sb="2" eb="3">
      <t>ガク</t>
    </rPh>
    <rPh sb="4" eb="5">
      <t>モノ</t>
    </rPh>
    <rPh sb="6" eb="7">
      <t>イン</t>
    </rPh>
    <rPh sb="8" eb="9">
      <t>カイ</t>
    </rPh>
    <rPh sb="10" eb="11">
      <t>ヤマイ</t>
    </rPh>
    <rPh sb="16" eb="17">
      <t>ジュウ</t>
    </rPh>
    <phoneticPr fontId="21"/>
  </si>
  <si>
    <t>内装は、床・壁の50％以上～65％未満の面積において、ダニ・カビの発生を抑制、あるいは清掃・メンテナンスに配慮したものとなっている。</t>
    <rPh sb="17" eb="19">
      <t>ミマン</t>
    </rPh>
    <phoneticPr fontId="21"/>
  </si>
  <si>
    <r>
      <t xml:space="preserve">4.1.4 </t>
    </r>
    <r>
      <rPr>
        <b/>
        <sz val="10"/>
        <rFont val="ＭＳ Ｐゴシック"/>
        <family val="3"/>
        <charset val="128"/>
      </rPr>
      <t>レジオネラ対策</t>
    </r>
    <rPh sb="11" eb="13">
      <t>タイサク</t>
    </rPh>
    <phoneticPr fontId="21"/>
  </si>
  <si>
    <t>事・学・物・飲・会・工・病</t>
    <rPh sb="0" eb="1">
      <t>コト</t>
    </rPh>
    <rPh sb="2" eb="3">
      <t>ガク</t>
    </rPh>
    <rPh sb="4" eb="5">
      <t>モノ</t>
    </rPh>
    <rPh sb="6" eb="7">
      <t>イン</t>
    </rPh>
    <rPh sb="8" eb="9">
      <t>カイ</t>
    </rPh>
    <rPh sb="10" eb="11">
      <t>コウ</t>
    </rPh>
    <rPh sb="12" eb="13">
      <t>ビョウ</t>
    </rPh>
    <phoneticPr fontId="21"/>
  </si>
  <si>
    <t>冷却塔の水処理、飛散対策等が最低限施されており、給湯器も最低限の対策が施されている。</t>
  </si>
  <si>
    <t>評価する取組み表の評価ポイントの合計値が3ポイント</t>
    <phoneticPr fontId="21"/>
  </si>
  <si>
    <t>評価する取組み表の評価ポイントの合計値が4ポイント</t>
    <phoneticPr fontId="21"/>
  </si>
  <si>
    <t>評価する取組み表の評価ポイントの合計値が5ポイント以上</t>
    <phoneticPr fontId="21"/>
  </si>
  <si>
    <t>I ゴミの種類や量の推計</t>
    <phoneticPr fontId="21"/>
  </si>
  <si>
    <t>該当資材がグリーン購入法における「特定調達品目」または「エコマーク商品」に認定されている場合、採用とみなす。</t>
    <phoneticPr fontId="21"/>
  </si>
  <si>
    <t>木材を使用していない時は評価対象外</t>
    <phoneticPr fontId="21"/>
  </si>
  <si>
    <t>持続可能な森林から産出された木材を使用していない。</t>
    <phoneticPr fontId="21"/>
  </si>
  <si>
    <t>持続可能な森林から産出された木材を使用しているが、使用比率10％未満。</t>
    <phoneticPr fontId="21"/>
  </si>
  <si>
    <t>振動に関する規制基準値</t>
    <rPh sb="0" eb="2">
      <t>シンドウ</t>
    </rPh>
    <rPh sb="3" eb="4">
      <t>カン</t>
    </rPh>
    <rPh sb="6" eb="8">
      <t>キセイ</t>
    </rPh>
    <rPh sb="8" eb="11">
      <t>キジュンチ</t>
    </rPh>
    <phoneticPr fontId="21"/>
  </si>
  <si>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</si>
  <si>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</si>
  <si>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</si>
  <si>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</si>
  <si>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1"/>
  </si>
  <si>
    <t>Dr-55以上</t>
    <rPh sb="5" eb="7">
      <t>イジョウ</t>
    </rPh>
    <phoneticPr fontId="21"/>
  </si>
  <si>
    <t>学</t>
    <rPh sb="0" eb="1">
      <t>ガク</t>
    </rPh>
    <phoneticPr fontId="21"/>
  </si>
  <si>
    <t>吸音</t>
    <rPh sb="0" eb="2">
      <t>キュウオン</t>
    </rPh>
    <phoneticPr fontId="21"/>
  </si>
  <si>
    <t>建物全体・共用部分</t>
    <phoneticPr fontId="21"/>
  </si>
  <si>
    <t>事・学・物・飲・会・病・ホ・工</t>
    <rPh sb="4" eb="5">
      <t>モノ</t>
    </rPh>
    <rPh sb="6" eb="7">
      <t>イン</t>
    </rPh>
    <rPh sb="8" eb="9">
      <t>カイ</t>
    </rPh>
    <phoneticPr fontId="21"/>
  </si>
  <si>
    <t>吸音材を使用していない。</t>
    <rPh sb="4" eb="6">
      <t>シヨウ</t>
    </rPh>
    <phoneticPr fontId="21"/>
  </si>
  <si>
    <t>壁、床、天井のうち一面に吸音材を使用している。</t>
    <rPh sb="9" eb="11">
      <t>イチメン</t>
    </rPh>
    <rPh sb="16" eb="18">
      <t>シヨウ</t>
    </rPh>
    <phoneticPr fontId="21"/>
  </si>
  <si>
    <t>温熱環境</t>
    <rPh sb="0" eb="2">
      <t>オンネツ</t>
    </rPh>
    <rPh sb="2" eb="4">
      <t>カンキョウ</t>
    </rPh>
    <phoneticPr fontId="21"/>
  </si>
  <si>
    <t>室温制御</t>
    <rPh sb="0" eb="2">
      <t>シツオン</t>
    </rPh>
    <rPh sb="2" eb="4">
      <t>セイギョ</t>
    </rPh>
    <phoneticPr fontId="21"/>
  </si>
  <si>
    <t>住居・宿泊部分</t>
  </si>
  <si>
    <t>病(待)・ホ・工・住</t>
    <rPh sb="2" eb="3">
      <t>マ</t>
    </rPh>
    <phoneticPr fontId="21"/>
  </si>
  <si>
    <t>病(診)</t>
    <rPh sb="2" eb="3">
      <t>ミ</t>
    </rPh>
    <phoneticPr fontId="21"/>
  </si>
  <si>
    <t>学（小中高）</t>
    <rPh sb="2" eb="5">
      <t>ショウチュウコウ</t>
    </rPh>
    <phoneticPr fontId="21"/>
  </si>
  <si>
    <t>レベル２を満たさない。</t>
  </si>
  <si>
    <t>居住域の上下温度差や気流速度について特に配慮していない空調方式が計画されている。</t>
    <phoneticPr fontId="21"/>
  </si>
  <si>
    <t>通常の空調方式であるが、居住域の上下温度差や気流速度に配慮した給排気計画がなされている。</t>
    <phoneticPr fontId="21"/>
  </si>
  <si>
    <t>通常の空調方式であるが、居住域の上下温度差や気流速度および診療室内の間仕切りなどに配慮した給排気計画がなされている。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</si>
  <si>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1"/>
  </si>
  <si>
    <t>居住域の上下温度差や気流速度が少なくなり、また診療室内の間仕切りに配慮された空調方式*が採用されている。</t>
    <phoneticPr fontId="21"/>
  </si>
  <si>
    <t>空調居住域の上下温度差、気流速度や非空調部屋との室間温度差などが少なくなるように配慮された空調方式が計画されている。</t>
    <phoneticPr fontId="21"/>
  </si>
  <si>
    <t>居住域の上下温度差や気流速度について特に配慮していない空調方式が計画されている。</t>
    <phoneticPr fontId="21"/>
  </si>
  <si>
    <t>空調居住域の上下温度差、気流速度や非空調部屋との室間温度差などについて特に配慮していない空調方式が採用されている。</t>
    <phoneticPr fontId="21"/>
  </si>
  <si>
    <t>再生材料を用いた舗装用ブロック（プレキャスト無筋コンクリート）</t>
    <rPh sb="0" eb="2">
      <t>サイセイ</t>
    </rPh>
    <rPh sb="2" eb="4">
      <t>ザイリョウ</t>
    </rPh>
    <rPh sb="5" eb="6">
      <t>モチ</t>
    </rPh>
    <rPh sb="8" eb="11">
      <t>ホソウヨウ</t>
    </rPh>
    <rPh sb="22" eb="24">
      <t>ムキン</t>
    </rPh>
    <phoneticPr fontId="21"/>
  </si>
  <si>
    <t>製材</t>
    <rPh sb="0" eb="2">
      <t>セイザイ</t>
    </rPh>
    <phoneticPr fontId="21"/>
  </si>
  <si>
    <t>雨水の排水溝等</t>
    <rPh sb="0" eb="2">
      <t>アマミズ</t>
    </rPh>
    <rPh sb="3" eb="6">
      <t>ハイスイコウ</t>
    </rPh>
    <rPh sb="6" eb="7">
      <t>トウ</t>
    </rPh>
    <phoneticPr fontId="21"/>
  </si>
  <si>
    <t>耐用性・信頼性</t>
    <rPh sb="4" eb="6">
      <t>シンライ</t>
    </rPh>
    <rPh sb="6" eb="7">
      <t>セイ</t>
    </rPh>
    <phoneticPr fontId="1"/>
  </si>
  <si>
    <t>耐震･免震</t>
    <rPh sb="0" eb="2">
      <t>タイシン</t>
    </rPh>
    <rPh sb="3" eb="4">
      <t>メン</t>
    </rPh>
    <rPh sb="4" eb="5">
      <t>フル</t>
    </rPh>
    <phoneticPr fontId="1"/>
  </si>
  <si>
    <t>免震・制振性能</t>
    <rPh sb="5" eb="7">
      <t>セイノウ</t>
    </rPh>
    <phoneticPr fontId="1"/>
  </si>
  <si>
    <t>部品・部材の耐用年数</t>
    <rPh sb="0" eb="2">
      <t>ブヒン</t>
    </rPh>
    <rPh sb="3" eb="4">
      <t>ブ</t>
    </rPh>
    <rPh sb="4" eb="5">
      <t>ザイ</t>
    </rPh>
    <rPh sb="6" eb="8">
      <t>タイヨウ</t>
    </rPh>
    <rPh sb="8" eb="10">
      <t>ネンスウ</t>
    </rPh>
    <phoneticPr fontId="1"/>
  </si>
  <si>
    <t>躯体材料の耐用年数</t>
    <rPh sb="0" eb="2">
      <t>クタイ</t>
    </rPh>
    <rPh sb="2" eb="4">
      <t>ザイリョウ</t>
    </rPh>
    <rPh sb="5" eb="7">
      <t>タイヨウ</t>
    </rPh>
    <rPh sb="7" eb="9">
      <t>ネンスウ</t>
    </rPh>
    <phoneticPr fontId="1"/>
  </si>
  <si>
    <t>空調換気ダクトの更新必要間隔</t>
    <rPh sb="0" eb="2">
      <t>クウチョウ</t>
    </rPh>
    <rPh sb="2" eb="4">
      <t>カンキ</t>
    </rPh>
    <phoneticPr fontId="1"/>
  </si>
  <si>
    <t>空調・給排水配管の更新必要間隔</t>
    <rPh sb="0" eb="2">
      <t>クウチョウ</t>
    </rPh>
    <rPh sb="3" eb="4">
      <t>キュウ</t>
    </rPh>
    <rPh sb="4" eb="6">
      <t>ハイスイ</t>
    </rPh>
    <rPh sb="6" eb="8">
      <t>ハイカン</t>
    </rPh>
    <phoneticPr fontId="1"/>
  </si>
  <si>
    <t>適切な更新</t>
    <rPh sb="0" eb="2">
      <t>テキセツ</t>
    </rPh>
    <rPh sb="3" eb="5">
      <t>コウシン</t>
    </rPh>
    <phoneticPr fontId="1"/>
  </si>
  <si>
    <t>屋上（屋根）・外壁仕上げ材の更新</t>
    <rPh sb="0" eb="2">
      <t>オクジョウ</t>
    </rPh>
    <rPh sb="3" eb="5">
      <t>ヤネ</t>
    </rPh>
    <rPh sb="7" eb="9">
      <t>ガイヘキ</t>
    </rPh>
    <rPh sb="9" eb="11">
      <t>シア</t>
    </rPh>
    <rPh sb="12" eb="13">
      <t>ザイ</t>
    </rPh>
    <rPh sb="14" eb="16">
      <t>コウシン</t>
    </rPh>
    <phoneticPr fontId="1"/>
  </si>
  <si>
    <t>配管・配線材の更新</t>
    <rPh sb="0" eb="2">
      <t>ハイカン</t>
    </rPh>
    <rPh sb="3" eb="5">
      <t>ハイセン</t>
    </rPh>
    <rPh sb="5" eb="6">
      <t>ザイ</t>
    </rPh>
    <rPh sb="7" eb="9">
      <t>コウシン</t>
    </rPh>
    <phoneticPr fontId="1"/>
  </si>
  <si>
    <t>主要設備機器の更新</t>
    <rPh sb="0" eb="2">
      <t>シュヨウ</t>
    </rPh>
    <rPh sb="2" eb="4">
      <t>セツビ</t>
    </rPh>
    <rPh sb="4" eb="6">
      <t>キキ</t>
    </rPh>
    <rPh sb="7" eb="9">
      <t>コウシン</t>
    </rPh>
    <phoneticPr fontId="1"/>
  </si>
  <si>
    <t>信頼性</t>
    <rPh sb="0" eb="3">
      <t>シンライセイ</t>
    </rPh>
    <phoneticPr fontId="1"/>
  </si>
  <si>
    <t>バックアップスペースの確保</t>
    <rPh sb="11" eb="13">
      <t>カクホ</t>
    </rPh>
    <phoneticPr fontId="1"/>
  </si>
  <si>
    <t>㎡（工場除く）</t>
    <rPh sb="2" eb="4">
      <t>コウジョウ</t>
    </rPh>
    <rPh sb="4" eb="5">
      <t>ノゾ</t>
    </rPh>
    <phoneticPr fontId="21"/>
  </si>
  <si>
    <t>BPIによる評価の場合</t>
    <rPh sb="6" eb="8">
      <t>ヒョウカ</t>
    </rPh>
    <rPh sb="9" eb="11">
      <t>バアイ</t>
    </rPh>
    <phoneticPr fontId="21"/>
  </si>
  <si>
    <t>BPImによる評価の場合</t>
    <rPh sb="7" eb="9">
      <t>ヒョウカ</t>
    </rPh>
    <rPh sb="10" eb="12">
      <t>バアイ</t>
    </rPh>
    <phoneticPr fontId="21"/>
  </si>
  <si>
    <t>％</t>
    <phoneticPr fontId="21"/>
  </si>
  <si>
    <t>旧PAL低減率への換算</t>
    <rPh sb="0" eb="1">
      <t>キュウ</t>
    </rPh>
    <rPh sb="4" eb="6">
      <t>テイゲン</t>
    </rPh>
    <rPh sb="6" eb="7">
      <t>リツ</t>
    </rPh>
    <rPh sb="9" eb="11">
      <t>カンサン</t>
    </rPh>
    <phoneticPr fontId="21"/>
  </si>
  <si>
    <t>PAL*低減率</t>
    <rPh sb="4" eb="6">
      <t>テイゲン</t>
    </rPh>
    <rPh sb="6" eb="7">
      <t>リツ</t>
    </rPh>
    <phoneticPr fontId="21"/>
  </si>
  <si>
    <t>[PAL＊低減率]＜2.5</t>
    <rPh sb="5" eb="7">
      <t>テイゲン</t>
    </rPh>
    <rPh sb="7" eb="8">
      <t>リツ</t>
    </rPh>
    <phoneticPr fontId="21"/>
  </si>
  <si>
    <t>10≦[PAL＊低減率]</t>
    <rPh sb="8" eb="10">
      <t>テイゲン</t>
    </rPh>
    <rPh sb="10" eb="11">
      <t>リツ</t>
    </rPh>
    <phoneticPr fontId="21"/>
  </si>
  <si>
    <t>2.5≦[PAL＊低減率]＜7.5</t>
    <rPh sb="9" eb="11">
      <t>テイゲン</t>
    </rPh>
    <rPh sb="11" eb="12">
      <t>リツ</t>
    </rPh>
    <phoneticPr fontId="21"/>
  </si>
  <si>
    <t>7.5≦[PAL＊低減率]＜10</t>
    <rPh sb="9" eb="11">
      <t>テイゲン</t>
    </rPh>
    <rPh sb="11" eb="12">
      <t>リツ</t>
    </rPh>
    <phoneticPr fontId="21"/>
  </si>
  <si>
    <t>％</t>
    <phoneticPr fontId="21"/>
  </si>
  <si>
    <t>BPIｍ</t>
    <phoneticPr fontId="21"/>
  </si>
  <si>
    <t>非住宅</t>
    <rPh sb="0" eb="1">
      <t>ヒ</t>
    </rPh>
    <rPh sb="1" eb="3">
      <t>ジュウタク</t>
    </rPh>
    <phoneticPr fontId="21"/>
  </si>
  <si>
    <t>※専有部は家電・調理分除く</t>
    <rPh sb="1" eb="3">
      <t>センユウ</t>
    </rPh>
    <rPh sb="3" eb="4">
      <t>ブ</t>
    </rPh>
    <rPh sb="5" eb="7">
      <t>カデン</t>
    </rPh>
    <rPh sb="8" eb="10">
      <t>チョウリ</t>
    </rPh>
    <rPh sb="10" eb="11">
      <t>ブン</t>
    </rPh>
    <rPh sb="11" eb="12">
      <t>ノゾ</t>
    </rPh>
    <phoneticPr fontId="21"/>
  </si>
  <si>
    <t>PAL低減率</t>
    <rPh sb="3" eb="5">
      <t>テイゲン</t>
    </rPh>
    <rPh sb="5" eb="6">
      <t>リツ</t>
    </rPh>
    <phoneticPr fontId="21"/>
  </si>
  <si>
    <t>ERRレベル</t>
    <phoneticPr fontId="21"/>
  </si>
  <si>
    <t>■設計一次エネルギー消費量(2)※</t>
    <rPh sb="1" eb="3">
      <t>ｾｯｹｲ</t>
    </rPh>
    <rPh sb="3" eb="5">
      <t>ｲﾁｼﾞ</t>
    </rPh>
    <rPh sb="10" eb="13">
      <t>ｼｮｳﾋﾘｮｳ</t>
    </rPh>
    <phoneticPr fontId="34" type="noConversion"/>
  </si>
  <si>
    <t>※設計一次エネルギー消費量(2)；省エネルギー計算でBEIを求める際の設計一次エネルギー消費量(1)に、</t>
    <rPh sb="1" eb="3">
      <t>セッケイ</t>
    </rPh>
    <rPh sb="3" eb="5">
      <t>イチジ</t>
    </rPh>
    <rPh sb="10" eb="13">
      <t>ショウヒリョウ</t>
    </rPh>
    <rPh sb="17" eb="18">
      <t>ショウ</t>
    </rPh>
    <rPh sb="23" eb="25">
      <t>ケイサン</t>
    </rPh>
    <rPh sb="30" eb="31">
      <t>モト</t>
    </rPh>
    <rPh sb="33" eb="34">
      <t>サイ</t>
    </rPh>
    <rPh sb="35" eb="37">
      <t>セッケイ</t>
    </rPh>
    <rPh sb="37" eb="39">
      <t>イチジ</t>
    </rPh>
    <rPh sb="44" eb="47">
      <t>ショウヒリョウ</t>
    </rPh>
    <phoneticPr fontId="21"/>
  </si>
  <si>
    <t>BEI(2)</t>
    <phoneticPr fontId="21"/>
  </si>
  <si>
    <t>←簡易計算から転記してよい</t>
    <rPh sb="1" eb="3">
      <t>カンイ</t>
    </rPh>
    <rPh sb="3" eb="5">
      <t>ケイサン</t>
    </rPh>
    <rPh sb="7" eb="9">
      <t>テンキ</t>
    </rPh>
    <phoneticPr fontId="21"/>
  </si>
  <si>
    <t>一次エネルギー消費率=</t>
    <rPh sb="0" eb="2">
      <t>イチジ</t>
    </rPh>
    <rPh sb="7" eb="9">
      <t>ショウヒ</t>
    </rPh>
    <rPh sb="9" eb="10">
      <t>リツ</t>
    </rPh>
    <phoneticPr fontId="21"/>
  </si>
  <si>
    <t>BEI(1)</t>
    <phoneticPr fontId="21"/>
  </si>
  <si>
    <t>BEI(2)</t>
    <phoneticPr fontId="21"/>
  </si>
  <si>
    <t xml:space="preserve"> 非住宅　小計</t>
    <rPh sb="1" eb="2">
      <t>ヒ</t>
    </rPh>
    <rPh sb="2" eb="4">
      <t>ジュウタク</t>
    </rPh>
    <rPh sb="5" eb="7">
      <t>ショウケイ</t>
    </rPh>
    <phoneticPr fontId="21"/>
  </si>
  <si>
    <t>LR1/2.1　定量評価</t>
    <rPh sb="8" eb="10">
      <t>テイリョウ</t>
    </rPh>
    <rPh sb="10" eb="12">
      <t>ヒョウカ</t>
    </rPh>
    <phoneticPr fontId="21"/>
  </si>
  <si>
    <t>MＪ／年㎡　</t>
    <phoneticPr fontId="21"/>
  </si>
  <si>
    <t>小中学校・集合住宅</t>
    <rPh sb="0" eb="4">
      <t>ショウチュウガッコウ</t>
    </rPh>
    <rPh sb="5" eb="7">
      <t>シュウゴウ</t>
    </rPh>
    <rPh sb="7" eb="9">
      <t>ジュウタク</t>
    </rPh>
    <phoneticPr fontId="21"/>
  </si>
  <si>
    <t>上記以外</t>
    <rPh sb="0" eb="2">
      <t>ジョウキ</t>
    </rPh>
    <rPh sb="2" eb="4">
      <t>イガイ</t>
    </rPh>
    <phoneticPr fontId="21"/>
  </si>
  <si>
    <t xml:space="preserve"> Q2 1.3</t>
  </si>
  <si>
    <t>総合的な取組み</t>
    <rPh sb="0" eb="3">
      <t>ソウゴウテキ</t>
    </rPh>
    <rPh sb="4" eb="5">
      <t>ト</t>
    </rPh>
    <rPh sb="5" eb="6">
      <t>ク</t>
    </rPh>
    <phoneticPr fontId="21"/>
  </si>
  <si>
    <t>維持管理に配慮した設計</t>
    <rPh sb="0" eb="2">
      <t>イジ</t>
    </rPh>
    <rPh sb="2" eb="4">
      <t>カンリ</t>
    </rPh>
    <rPh sb="5" eb="7">
      <t>ハイリョ</t>
    </rPh>
    <rPh sb="9" eb="11">
      <t>セッケイ</t>
    </rPh>
    <phoneticPr fontId="21"/>
  </si>
  <si>
    <t>1.3.2</t>
  </si>
  <si>
    <t>清掃管理業務</t>
    <rPh sb="0" eb="2">
      <t>セイソウ</t>
    </rPh>
    <rPh sb="2" eb="4">
      <t>カンリ</t>
    </rPh>
    <rPh sb="4" eb="6">
      <t>ギョウム</t>
    </rPh>
    <phoneticPr fontId="21"/>
  </si>
  <si>
    <t>維持管理用機能の確保</t>
    <rPh sb="0" eb="2">
      <t>イジ</t>
    </rPh>
    <rPh sb="2" eb="5">
      <t>カンリヨウ</t>
    </rPh>
    <rPh sb="5" eb="7">
      <t>キノウ</t>
    </rPh>
    <rPh sb="8" eb="10">
      <t>カクホ</t>
    </rPh>
    <phoneticPr fontId="21"/>
  </si>
  <si>
    <t>1.3.3</t>
  </si>
  <si>
    <t>耐用性・信頼性</t>
    <rPh sb="4" eb="6">
      <t>シンライ</t>
    </rPh>
    <rPh sb="6" eb="7">
      <t>セイ</t>
    </rPh>
    <phoneticPr fontId="21"/>
  </si>
  <si>
    <t xml:space="preserve"> Q2 2</t>
  </si>
  <si>
    <t xml:space="preserve"> Q2 2.1</t>
  </si>
  <si>
    <t>耐震性</t>
  </si>
  <si>
    <t>免震・制振性能</t>
    <rPh sb="5" eb="7">
      <t>セイノウ</t>
    </rPh>
    <phoneticPr fontId="21"/>
  </si>
  <si>
    <t xml:space="preserve"> Q2 2.2</t>
  </si>
  <si>
    <t>外壁仕上げ材の補修必要間隔</t>
  </si>
  <si>
    <t>主要内装仕上げ材の更新必要間隔</t>
  </si>
  <si>
    <t>空調換気ダクトの更新必要間隔</t>
    <rPh sb="0" eb="2">
      <t>クウチョウ</t>
    </rPh>
    <rPh sb="2" eb="4">
      <t>カンキ</t>
    </rPh>
    <phoneticPr fontId="21"/>
  </si>
  <si>
    <t>空調・給排水配管の更新必要間隔</t>
    <rPh sb="0" eb="2">
      <t>クウチョウ</t>
    </rPh>
    <rPh sb="3" eb="4">
      <t>キュウ</t>
    </rPh>
    <rPh sb="4" eb="6">
      <t>ハイスイ</t>
    </rPh>
    <rPh sb="6" eb="8">
      <t>ハイカン</t>
    </rPh>
    <phoneticPr fontId="21"/>
  </si>
  <si>
    <t>主要設備機器の更新必要間隔</t>
  </si>
  <si>
    <t xml:space="preserve"> Q2 2.3</t>
  </si>
  <si>
    <t>主要設備機器の更新</t>
    <rPh sb="0" eb="2">
      <t>シュヨウ</t>
    </rPh>
    <rPh sb="2" eb="4">
      <t>セツビ</t>
    </rPh>
    <rPh sb="4" eb="6">
      <t>キキ</t>
    </rPh>
    <rPh sb="7" eb="9">
      <t>コウシン</t>
    </rPh>
    <phoneticPr fontId="21"/>
  </si>
  <si>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</si>
  <si>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</si>
  <si>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</si>
  <si>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</si>
  <si>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</si>
  <si>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</si>
  <si>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</si>
  <si>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</si>
  <si>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</si>
  <si>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</si>
  <si>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1"/>
  </si>
  <si>
    <t>飲食店</t>
    <rPh sb="0" eb="2">
      <t>インショク</t>
    </rPh>
    <rPh sb="2" eb="3">
      <t>テン</t>
    </rPh>
    <phoneticPr fontId="21"/>
  </si>
  <si>
    <t>集合住宅</t>
    <rPh sb="0" eb="2">
      <t>シュウゴウ</t>
    </rPh>
    <rPh sb="2" eb="4">
      <t>ジュウタク</t>
    </rPh>
    <phoneticPr fontId="21"/>
  </si>
  <si>
    <t>2-2.　合計の計算</t>
    <rPh sb="5" eb="7">
      <t>ゴウケイ</t>
    </rPh>
    <rPh sb="8" eb="10">
      <t>ケイサン</t>
    </rPh>
    <phoneticPr fontId="21"/>
  </si>
  <si>
    <t>3-1.　建築物の取組み（②）</t>
    <rPh sb="5" eb="8">
      <t>ケンチクブツ</t>
    </rPh>
    <rPh sb="9" eb="11">
      <t>トリク</t>
    </rPh>
    <phoneticPr fontId="21"/>
  </si>
  <si>
    <t>参照値（①）</t>
    <rPh sb="0" eb="2">
      <t>サンショウ</t>
    </rPh>
    <rPh sb="2" eb="3">
      <t>チ</t>
    </rPh>
    <phoneticPr fontId="21"/>
  </si>
  <si>
    <t>3-2.　上記+上記以外のオンサイト手法（③）</t>
    <rPh sb="5" eb="7">
      <t>ジョウキ</t>
    </rPh>
    <rPh sb="8" eb="10">
      <t>ジョウキ</t>
    </rPh>
    <rPh sb="10" eb="12">
      <t>イガイ</t>
    </rPh>
    <rPh sb="18" eb="20">
      <t>シュホウ</t>
    </rPh>
    <phoneticPr fontId="21"/>
  </si>
  <si>
    <t>削減量</t>
    <rPh sb="0" eb="2">
      <t>サクゲン</t>
    </rPh>
    <rPh sb="2" eb="3">
      <t>リョウ</t>
    </rPh>
    <phoneticPr fontId="21"/>
  </si>
  <si>
    <t>空地率が、
　　・40％以上60％未満の場合　 (1ポイント)
　　・60％以上80％未満の場合　 (2ポイント)
　　・80％以上 (3ポイント)</t>
    <phoneticPr fontId="21"/>
  </si>
  <si>
    <t>II夏期における日陰を形成し、敷地内歩行者空間等の暑熱環境を緩和する</t>
    <phoneticPr fontId="21"/>
  </si>
  <si>
    <t>1)中・高木の植栽やピロティ、庇、パーゴラ等を設けることにより、日陰の形成に努める。</t>
    <phoneticPr fontId="21"/>
  </si>
  <si>
    <t>中・高木、ピロティ等の水平投影面積率が、
　　・10％以上20％未満の場合　 (1ポイント)
　　・20％以上30％未満の場合　 (2ポイント)
　　・30％以上の場合 (3ポイント)</t>
    <phoneticPr fontId="21"/>
  </si>
  <si>
    <t>III敷地内に緑地や水面等を確保し、敷地内歩行者空間等の暑熱環境を緩和する</t>
    <phoneticPr fontId="21"/>
  </si>
  <si>
    <t>1)緑地や水面を確保することにより、地表面温度や地表面近傍の気温等の上昇を抑制する。</t>
    <phoneticPr fontId="21"/>
  </si>
  <si>
    <t>2)敷地内の舗装面積を小さくするよう努める。</t>
    <phoneticPr fontId="21"/>
  </si>
  <si>
    <t>舗装面積率が、
　　・20％以上30％未満の場合 (1ポイント)
　　・10％以上20％未満の場合 (2ポイント)
　　・10％未満の場合　 (3ポイント)</t>
    <phoneticPr fontId="21"/>
  </si>
  <si>
    <t>IV建築外装材料に配慮し、敷地内歩行空間等の暑熱環境を緩和する</t>
    <phoneticPr fontId="21"/>
  </si>
  <si>
    <t>合計  [1]</t>
    <phoneticPr fontId="21"/>
  </si>
  <si>
    <t>自家消費分</t>
    <phoneticPr fontId="21"/>
  </si>
  <si>
    <t>地域区分Ⅲ</t>
  </si>
  <si>
    <t>1）概要入力</t>
    <rPh sb="2" eb="4">
      <t>ガイヨウ</t>
    </rPh>
    <rPh sb="4" eb="6">
      <t>ニュウリョク</t>
    </rPh>
    <phoneticPr fontId="21"/>
  </si>
  <si>
    <t>地域区分Ⅳ</t>
  </si>
  <si>
    <t>① 建物概要</t>
    <rPh sb="2" eb="4">
      <t>タテモノ</t>
    </rPh>
    <rPh sb="4" eb="6">
      <t>ガイヨウ</t>
    </rPh>
    <phoneticPr fontId="21"/>
  </si>
  <si>
    <t>地域区分Ⅴ</t>
  </si>
  <si>
    <t>地域区分Ⅵ</t>
  </si>
  <si>
    <t>■建物名称</t>
    <rPh sb="1" eb="3">
      <t>ﾀﾃﾓﾉ</t>
    </rPh>
    <rPh sb="3" eb="5">
      <t>ﾒｲｼｮｳ</t>
    </rPh>
    <phoneticPr fontId="34" type="noConversion"/>
  </si>
  <si>
    <t>■建設地・気候区分</t>
    <rPh sb="1" eb="4">
      <t>ｹﾝｾﾂﾁ</t>
    </rPh>
    <rPh sb="5" eb="7">
      <t>ｷｺｳ</t>
    </rPh>
    <rPh sb="7" eb="9">
      <t>ｸﾌﾞﾝ</t>
    </rPh>
    <phoneticPr fontId="34" type="noConversion"/>
  </si>
  <si>
    <t>3.3.1</t>
    <phoneticPr fontId="21"/>
  </si>
  <si>
    <t>照度</t>
    <phoneticPr fontId="21"/>
  </si>
  <si>
    <t>3.3.2</t>
    <phoneticPr fontId="21"/>
  </si>
  <si>
    <t>※個別計算</t>
    <rPh sb="1" eb="3">
      <t>コベツ</t>
    </rPh>
    <rPh sb="3" eb="5">
      <t>ケイサン</t>
    </rPh>
    <phoneticPr fontId="21"/>
  </si>
  <si>
    <t>室内全体に対して照明制御盤、器具等による大まかな調整ができる。</t>
    <phoneticPr fontId="21"/>
  </si>
  <si>
    <t>レベル３を満たしている。かつ、部分的に自動調光ができる。</t>
    <phoneticPr fontId="21"/>
  </si>
  <si>
    <t>4500N/㎡以上</t>
    <phoneticPr fontId="21"/>
  </si>
  <si>
    <t>5200N/㎡以上</t>
    <phoneticPr fontId="21"/>
  </si>
  <si>
    <t>3500N/㎡以上</t>
    <phoneticPr fontId="21"/>
  </si>
  <si>
    <t>2900N/㎡以上</t>
    <phoneticPr fontId="21"/>
  </si>
  <si>
    <t>設備の更新性</t>
    <rPh sb="0" eb="2">
      <t>セツビ</t>
    </rPh>
    <rPh sb="3" eb="5">
      <t>コウシン</t>
    </rPh>
    <rPh sb="5" eb="6">
      <t>セイ</t>
    </rPh>
    <phoneticPr fontId="21"/>
  </si>
  <si>
    <t>構造部材を痛めなければ空調配管の更新・修繕ができない。</t>
  </si>
  <si>
    <t>構造部材、仕上げ材を痛めなければ修繕、更新できない。</t>
  </si>
  <si>
    <t>IV 防犯性の配慮</t>
    <rPh sb="7" eb="9">
      <t>ハイリョ</t>
    </rPh>
    <phoneticPr fontId="21"/>
  </si>
  <si>
    <t>新築はなし</t>
    <rPh sb="0" eb="2">
      <t>シンチク</t>
    </rPh>
    <phoneticPr fontId="21"/>
  </si>
  <si>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1"/>
  </si>
  <si>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1"/>
  </si>
  <si>
    <t>V 建物利用者等の参加性</t>
    <rPh sb="2" eb="4">
      <t>タテモノ</t>
    </rPh>
    <rPh sb="4" eb="7">
      <t>リヨウシャ</t>
    </rPh>
    <rPh sb="7" eb="8">
      <t>トウ</t>
    </rPh>
    <rPh sb="9" eb="12">
      <t>サンカセイ</t>
    </rPh>
    <phoneticPr fontId="21"/>
  </si>
  <si>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</si>
  <si>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</si>
  <si>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</si>
  <si>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</si>
  <si>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1"/>
  </si>
  <si>
    <r>
      <t>kg-CO</t>
    </r>
    <r>
      <rPr>
        <vertAlign val="subscript"/>
        <sz val="10"/>
        <rFont val="ＭＳ Ｐゴシック"/>
        <family val="3"/>
        <charset val="128"/>
      </rPr>
      <t>2</t>
    </r>
    <r>
      <rPr>
        <sz val="10"/>
        <rFont val="ＭＳ Ｐゴシック"/>
        <family val="3"/>
        <charset val="128"/>
      </rPr>
      <t>/kWh</t>
    </r>
    <phoneticPr fontId="21"/>
  </si>
  <si>
    <t>実排出量との差</t>
    <phoneticPr fontId="21"/>
  </si>
  <si>
    <t>病院o</t>
    <phoneticPr fontId="21"/>
  </si>
  <si>
    <t>1)屋上(人工地盤を含む)のうち、人が出入りできる部分の緑化に努める。</t>
    <phoneticPr fontId="21"/>
  </si>
  <si>
    <t>　　・人が出入りできる屋上があり、一部緑化している場合(2ポイント)
　　・人が出入りできる屋上を広範囲で緑化している場合(3ポイント)</t>
    <phoneticPr fontId="21"/>
  </si>
  <si>
    <t>2)外壁面の材料に配慮する。</t>
    <phoneticPr fontId="21"/>
  </si>
  <si>
    <r>
      <t xml:space="preserve">3.2.3 </t>
    </r>
    <r>
      <rPr>
        <b/>
        <sz val="10"/>
        <rFont val="ＭＳ Ｐゴシック"/>
        <family val="3"/>
        <charset val="128"/>
      </rPr>
      <t>冷媒</t>
    </r>
    <rPh sb="6" eb="8">
      <t>レイバイ</t>
    </rPh>
    <phoneticPr fontId="21"/>
  </si>
  <si>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</si>
  <si>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</si>
  <si>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</si>
  <si>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1"/>
  </si>
  <si>
    <t>使用用途の種類</t>
  </si>
  <si>
    <t>用途例</t>
  </si>
  <si>
    <t>居室面積の1/10以上の開閉可能な窓を確保している。</t>
    <phoneticPr fontId="21"/>
  </si>
  <si>
    <t>評価点</t>
    <rPh sb="0" eb="3">
      <t>ヒョウカテン</t>
    </rPh>
    <phoneticPr fontId="21"/>
  </si>
  <si>
    <t>重み
係数</t>
    <rPh sb="0" eb="1">
      <t>オモ</t>
    </rPh>
    <phoneticPr fontId="21"/>
  </si>
  <si>
    <t>全体</t>
  </si>
  <si>
    <t>室内環境</t>
  </si>
  <si>
    <t>音環境</t>
    <rPh sb="0" eb="1">
      <t>ｵﾄ</t>
    </rPh>
    <rPh sb="1" eb="3">
      <t>ｶﾝｷｮｳ</t>
    </rPh>
    <phoneticPr fontId="34" type="noConversion"/>
  </si>
  <si>
    <t>騒音</t>
  </si>
  <si>
    <t>室内騒音レベル</t>
    <phoneticPr fontId="21"/>
  </si>
  <si>
    <t>設備騒音対策</t>
    <phoneticPr fontId="21"/>
  </si>
  <si>
    <t>遮音</t>
  </si>
  <si>
    <t>雨水利用率＝</t>
    <rPh sb="0" eb="2">
      <t>アマミズ</t>
    </rPh>
    <rPh sb="2" eb="4">
      <t>リヨウ</t>
    </rPh>
    <rPh sb="4" eb="5">
      <t>リツ</t>
    </rPh>
    <phoneticPr fontId="21"/>
  </si>
  <si>
    <t>雨水利用予測量（m³）</t>
    <rPh sb="4" eb="6">
      <t>ヨソク</t>
    </rPh>
    <phoneticPr fontId="21"/>
  </si>
  <si>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1"/>
  </si>
  <si>
    <t>学(小中高)</t>
    <rPh sb="0" eb="1">
      <t>ガク</t>
    </rPh>
    <rPh sb="2" eb="3">
      <t>ショウ</t>
    </rPh>
    <rPh sb="3" eb="4">
      <t>チュウ</t>
    </rPh>
    <rPh sb="4" eb="5">
      <t>コウ</t>
    </rPh>
    <phoneticPr fontId="21"/>
  </si>
  <si>
    <t>■使用評価マニュアル：</t>
    <rPh sb="1" eb="3">
      <t>シヨウ</t>
    </rPh>
    <rPh sb="3" eb="5">
      <t>ヒョウカ</t>
    </rPh>
    <phoneticPr fontId="21"/>
  </si>
  <si>
    <t>ビルマルチエアコン室外機等からの騒音</t>
    <rPh sb="9" eb="12">
      <t>シツガイキ</t>
    </rPh>
    <rPh sb="12" eb="13">
      <t>トウ</t>
    </rPh>
    <rPh sb="16" eb="18">
      <t>ソウオン</t>
    </rPh>
    <phoneticPr fontId="21"/>
  </si>
  <si>
    <t>防音塀、遮蔽体、防振支持、位置など</t>
    <rPh sb="0" eb="2">
      <t>ボウオン</t>
    </rPh>
    <rPh sb="2" eb="3">
      <t>ヘイ</t>
    </rPh>
    <rPh sb="4" eb="6">
      <t>シャヘイ</t>
    </rPh>
    <rPh sb="6" eb="7">
      <t>タイ</t>
    </rPh>
    <rPh sb="8" eb="12">
      <t>ボウシンシジ</t>
    </rPh>
    <rPh sb="13" eb="15">
      <t>イチ</t>
    </rPh>
    <phoneticPr fontId="21"/>
  </si>
  <si>
    <t>項目</t>
    <rPh sb="0" eb="2">
      <t>コウモク</t>
    </rPh>
    <phoneticPr fontId="21"/>
  </si>
  <si>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1"/>
  </si>
  <si>
    <t>住宅</t>
    <rPh sb="0" eb="2">
      <t>ジュウタク</t>
    </rPh>
    <phoneticPr fontId="21"/>
  </si>
  <si>
    <t>トイレ、浴室等の給配水音、排水音、使用音</t>
    <rPh sb="11" eb="12">
      <t>オン</t>
    </rPh>
    <rPh sb="13" eb="15">
      <t>ハイスイ</t>
    </rPh>
    <rPh sb="15" eb="16">
      <t>オン</t>
    </rPh>
    <rPh sb="17" eb="19">
      <t>シヨウ</t>
    </rPh>
    <rPh sb="19" eb="20">
      <t>オン</t>
    </rPh>
    <phoneticPr fontId="21"/>
  </si>
  <si>
    <t>宴会場</t>
    <rPh sb="0" eb="3">
      <t>エンカイジョウ</t>
    </rPh>
    <phoneticPr fontId="21"/>
  </si>
  <si>
    <t>重役室・大会議室</t>
    <rPh sb="0" eb="3">
      <t>ジュウヤクシツ</t>
    </rPh>
    <rPh sb="4" eb="8">
      <t>ダイカイギシツ</t>
    </rPh>
    <phoneticPr fontId="21"/>
  </si>
  <si>
    <t>応接室</t>
    <rPh sb="0" eb="3">
      <t>オウセツシツ</t>
    </rPh>
    <phoneticPr fontId="21"/>
  </si>
  <si>
    <t>広さ・収納性</t>
    <rPh sb="0" eb="1">
      <t>ヒロ</t>
    </rPh>
    <rPh sb="3" eb="5">
      <t>シュウノウ</t>
    </rPh>
    <rPh sb="5" eb="6">
      <t>セイ</t>
    </rPh>
    <phoneticPr fontId="21"/>
  </si>
  <si>
    <t>高度情報通信設備対応</t>
    <rPh sb="0" eb="2">
      <t>コウド</t>
    </rPh>
    <rPh sb="2" eb="4">
      <t>ジョウホウ</t>
    </rPh>
    <rPh sb="4" eb="6">
      <t>ツウシン</t>
    </rPh>
    <rPh sb="6" eb="8">
      <t>セツビ</t>
    </rPh>
    <rPh sb="8" eb="10">
      <t>タイオウ</t>
    </rPh>
    <phoneticPr fontId="21"/>
  </si>
  <si>
    <t>バリアフリー計画</t>
    <rPh sb="6" eb="8">
      <t>ケイカク</t>
    </rPh>
    <phoneticPr fontId="21"/>
  </si>
  <si>
    <t>売電分</t>
    <rPh sb="0" eb="2">
      <t>バイデン</t>
    </rPh>
    <rPh sb="2" eb="3">
      <t>ブン</t>
    </rPh>
    <phoneticPr fontId="21"/>
  </si>
  <si>
    <t>修繕・更新・解体</t>
    <rPh sb="3" eb="5">
      <t>コウシン</t>
    </rPh>
    <phoneticPr fontId="21"/>
  </si>
  <si>
    <t>レベル３程度の空調ゾーニングがなされ、さらにゾーン別に冷房・暖房の選択が可能な空調システムが計画されている。</t>
    <phoneticPr fontId="21"/>
  </si>
  <si>
    <t>60＜ [騒音レベル]</t>
    <phoneticPr fontId="21"/>
  </si>
  <si>
    <t>45＜ [騒音レベル]</t>
    <phoneticPr fontId="21"/>
  </si>
  <si>
    <t>　レベル　1</t>
    <phoneticPr fontId="21"/>
  </si>
  <si>
    <t>■レベル　1</t>
    <phoneticPr fontId="21"/>
  </si>
  <si>
    <t>-</t>
    <phoneticPr fontId="21"/>
  </si>
  <si>
    <t>(該当するレベルなし)</t>
  </si>
  <si>
    <t>50＜ [騒音レベル] ≦60</t>
    <phoneticPr fontId="21"/>
  </si>
  <si>
    <t>1.00　＜ [BEIm値]　≦ 1.05</t>
  </si>
  <si>
    <t>0.90　＜ [BEIm値]　≦ 1.00</t>
  </si>
  <si>
    <t>　       [BEIm値]　≦ 0.90</t>
  </si>
  <si>
    <t>モデル建物法[BEIm]での評価</t>
    <rPh sb="3" eb="5">
      <t>タテモノ</t>
    </rPh>
    <rPh sb="5" eb="6">
      <t>ホウ</t>
    </rPh>
    <rPh sb="14" eb="16">
      <t>ヒョウカ</t>
    </rPh>
    <phoneticPr fontId="21"/>
  </si>
  <si>
    <t>[BEI]での評価</t>
    <rPh sb="7" eb="9">
      <t>ヒョウカ</t>
    </rPh>
    <phoneticPr fontId="21"/>
  </si>
  <si>
    <t>レベル1:   [BEI値]　≧　1.10</t>
    <phoneticPr fontId="21"/>
  </si>
  <si>
    <t>■自然エネルギーの直接利用量</t>
    <rPh sb="1" eb="3">
      <t>シゼン</t>
    </rPh>
    <rPh sb="9" eb="11">
      <t>チョクセツ</t>
    </rPh>
    <rPh sb="11" eb="13">
      <t>リヨウ</t>
    </rPh>
    <rPh sb="13" eb="14">
      <t>リョウ</t>
    </rPh>
    <phoneticPr fontId="21"/>
  </si>
  <si>
    <t>■LR1　「省エネルギー計画書」等からの必要事項の転記</t>
    <rPh sb="16" eb="17">
      <t>トウ</t>
    </rPh>
    <phoneticPr fontId="21"/>
  </si>
  <si>
    <t>建築物の取組み（②）</t>
    <rPh sb="0" eb="3">
      <t>ケンチクブツ</t>
    </rPh>
    <rPh sb="4" eb="6">
      <t>トリク</t>
    </rPh>
    <phoneticPr fontId="21"/>
  </si>
  <si>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1"/>
  </si>
  <si>
    <t>建物外皮の熱負荷抑制</t>
    <rPh sb="0" eb="2">
      <t>タテモノ</t>
    </rPh>
    <rPh sb="2" eb="4">
      <t>ガイヒ</t>
    </rPh>
    <rPh sb="5" eb="6">
      <t>ネツ</t>
    </rPh>
    <rPh sb="6" eb="8">
      <t>フカ</t>
    </rPh>
    <rPh sb="8" eb="10">
      <t>ヨクセイ</t>
    </rPh>
    <phoneticPr fontId="21"/>
  </si>
  <si>
    <t>空気取り入れ口は敷地周囲の状況を勘案して、汚染源のない方位に設けられている。</t>
    <phoneticPr fontId="21"/>
  </si>
  <si>
    <t>空気取り入れ口は敷地周囲の状況を勘案して、汚染源のない方位に設けられている。かつ、各種排気口と異なる方位か、または3ｍ以上離れて設置されている。</t>
    <phoneticPr fontId="21"/>
  </si>
  <si>
    <t>空気取り入れ口は敷地周囲の状況を勘案して、汚染源のない方位に設けられている。かつ、各種排気口と異なる方位で、かつ6ｍ以上離れて設置されている。</t>
    <phoneticPr fontId="21"/>
  </si>
  <si>
    <t>外気が空調機でレタンと混合され各室に熱負荷から決まる風量で配分される等、各室の負荷条件によっては、必ずしも必要な場所に必要な外気量が保証されないシステムとなっている。</t>
    <phoneticPr fontId="21"/>
  </si>
  <si>
    <t>商業建物</t>
    <rPh sb="0" eb="2">
      <t>ショウギョウ</t>
    </rPh>
    <rPh sb="2" eb="4">
      <t>タテモノ</t>
    </rPh>
    <phoneticPr fontId="21"/>
  </si>
  <si>
    <t>音楽喫茶店</t>
    <rPh sb="0" eb="2">
      <t>オンガク</t>
    </rPh>
    <rPh sb="2" eb="5">
      <t>キッサテン</t>
    </rPh>
    <phoneticPr fontId="21"/>
  </si>
  <si>
    <t>書籍店</t>
    <rPh sb="0" eb="2">
      <t>ショセキ</t>
    </rPh>
    <rPh sb="2" eb="3">
      <t>テン</t>
    </rPh>
    <phoneticPr fontId="21"/>
  </si>
  <si>
    <t>一般商店</t>
    <rPh sb="0" eb="2">
      <t>イッパン</t>
    </rPh>
    <rPh sb="2" eb="4">
      <t>ショウテン</t>
    </rPh>
    <phoneticPr fontId="21"/>
  </si>
  <si>
    <t>小会議室</t>
    <rPh sb="0" eb="4">
      <t>ショウカイギシツ</t>
    </rPh>
    <phoneticPr fontId="21"/>
  </si>
  <si>
    <t>タイプ・計算室</t>
    <rPh sb="4" eb="6">
      <t>ケイサン</t>
    </rPh>
    <rPh sb="6" eb="7">
      <t>シツ</t>
    </rPh>
    <phoneticPr fontId="21"/>
  </si>
  <si>
    <t>公共建物</t>
    <rPh sb="0" eb="2">
      <t>コウキョウ</t>
    </rPh>
    <rPh sb="2" eb="4">
      <t>タテモノ</t>
    </rPh>
    <phoneticPr fontId="21"/>
  </si>
  <si>
    <t>公会堂</t>
    <rPh sb="0" eb="3">
      <t>コウカイドウ</t>
    </rPh>
    <phoneticPr fontId="21"/>
  </si>
  <si>
    <t>美術館・博物館</t>
    <rPh sb="0" eb="2">
      <t>ビジュツ</t>
    </rPh>
    <rPh sb="2" eb="3">
      <t>カン</t>
    </rPh>
    <rPh sb="4" eb="7">
      <t>ハクブツカン</t>
    </rPh>
    <phoneticPr fontId="21"/>
  </si>
  <si>
    <t>図書閲覧室</t>
    <rPh sb="0" eb="2">
      <t>トショ</t>
    </rPh>
    <rPh sb="2" eb="4">
      <t>エツラン</t>
    </rPh>
    <rPh sb="4" eb="5">
      <t>シツ</t>
    </rPh>
    <phoneticPr fontId="21"/>
  </si>
  <si>
    <t>公会堂兼体育館</t>
    <rPh sb="0" eb="3">
      <t>コウカイドウ</t>
    </rPh>
    <rPh sb="3" eb="4">
      <t>ケン</t>
    </rPh>
    <rPh sb="4" eb="7">
      <t>タイイクカン</t>
    </rPh>
    <phoneticPr fontId="21"/>
  </si>
  <si>
    <t>屋内スポーツ施設（拡）</t>
    <rPh sb="0" eb="2">
      <t>オクナイ</t>
    </rPh>
    <rPh sb="6" eb="8">
      <t>シセツ</t>
    </rPh>
    <rPh sb="9" eb="10">
      <t>ヒロム</t>
    </rPh>
    <phoneticPr fontId="21"/>
  </si>
  <si>
    <t>学校・教会</t>
    <rPh sb="0" eb="2">
      <t>ガッコウ</t>
    </rPh>
    <rPh sb="3" eb="5">
      <t>キョウカイ</t>
    </rPh>
    <phoneticPr fontId="21"/>
  </si>
  <si>
    <t>音楽教室</t>
    <rPh sb="0" eb="2">
      <t>オンガク</t>
    </rPh>
    <rPh sb="2" eb="4">
      <t>キョウシツ</t>
    </rPh>
    <phoneticPr fontId="21"/>
  </si>
  <si>
    <t>3.1　空調設備</t>
    <rPh sb="4" eb="6">
      <t>クウチョウ</t>
    </rPh>
    <rPh sb="6" eb="8">
      <t>セツビ</t>
    </rPh>
    <phoneticPr fontId="21"/>
  </si>
  <si>
    <t>建物で消費される各種エネルギー消費量を年間に渡って把握し、消費原単位等を用いてのベンチマーク比較が行なえること。</t>
    <phoneticPr fontId="21"/>
  </si>
  <si>
    <t>歴史的遺産等</t>
    <phoneticPr fontId="21"/>
  </si>
  <si>
    <t>その他</t>
    <phoneticPr fontId="21"/>
  </si>
  <si>
    <t>プラスチック系発泡断熱材に使用された発泡剤種類</t>
    <phoneticPr fontId="21"/>
  </si>
  <si>
    <t>ＯＤＰ</t>
    <phoneticPr fontId="21"/>
  </si>
  <si>
    <t>CFC-11</t>
    <phoneticPr fontId="21"/>
  </si>
  <si>
    <t>HCFC-141b</t>
    <phoneticPr fontId="21"/>
  </si>
  <si>
    <t>HFC-134a</t>
    <phoneticPr fontId="21"/>
  </si>
  <si>
    <t>HFC-245fa</t>
    <phoneticPr fontId="21"/>
  </si>
  <si>
    <t>悪臭</t>
    <rPh sb="0" eb="2">
      <t>アクシュウ</t>
    </rPh>
    <phoneticPr fontId="21"/>
  </si>
  <si>
    <t>LR3 3.2</t>
  </si>
  <si>
    <t>LR3 3.3</t>
  </si>
  <si>
    <t>光害の抑制</t>
    <rPh sb="0" eb="1">
      <t>ﾋｶﾘ</t>
    </rPh>
    <phoneticPr fontId="34" type="noConversion"/>
  </si>
  <si>
    <t>耐震･免震</t>
    <rPh sb="0" eb="2">
      <t>タイシン</t>
    </rPh>
    <rPh sb="3" eb="4">
      <t>メン</t>
    </rPh>
    <rPh sb="4" eb="5">
      <t>フル</t>
    </rPh>
    <phoneticPr fontId="21"/>
  </si>
  <si>
    <t>耐震性</t>
    <rPh sb="0" eb="3">
      <t>タイシンセイ</t>
    </rPh>
    <phoneticPr fontId="21"/>
  </si>
  <si>
    <t>免震・制振性能</t>
    <rPh sb="0" eb="1">
      <t>メン</t>
    </rPh>
    <rPh sb="1" eb="2">
      <t>シン</t>
    </rPh>
    <rPh sb="3" eb="4">
      <t>セイ</t>
    </rPh>
    <rPh sb="4" eb="5">
      <t>オサム</t>
    </rPh>
    <rPh sb="5" eb="7">
      <t>セイノウ</t>
    </rPh>
    <phoneticPr fontId="21"/>
  </si>
  <si>
    <t>部品・部材の耐用年数</t>
    <rPh sb="0" eb="2">
      <t>ブヒン</t>
    </rPh>
    <rPh sb="3" eb="4">
      <t>ブ</t>
    </rPh>
    <rPh sb="4" eb="5">
      <t>ザイ</t>
    </rPh>
    <rPh sb="6" eb="8">
      <t>タイヨウ</t>
    </rPh>
    <rPh sb="8" eb="10">
      <t>ネンスウ</t>
    </rPh>
    <phoneticPr fontId="21"/>
  </si>
  <si>
    <r>
      <t>LR1</t>
    </r>
    <r>
      <rPr>
        <b/>
        <sz val="14"/>
        <rFont val="ＭＳ Ｐゴシック"/>
        <family val="3"/>
        <charset val="128"/>
      </rPr>
      <t>　エネルギー</t>
    </r>
    <phoneticPr fontId="21"/>
  </si>
  <si>
    <t>レベル３に満たない</t>
    <phoneticPr fontId="2"/>
  </si>
  <si>
    <t>事・学・物・飲・会・病・ホ</t>
    <phoneticPr fontId="21"/>
  </si>
  <si>
    <t>(a)　グリーン電力証書によるカーボンオフセット</t>
    <phoneticPr fontId="21"/>
  </si>
  <si>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</si>
  <si>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1"/>
  </si>
  <si>
    <t>事・学・物・飲・会・病・ホ・工・住</t>
    <phoneticPr fontId="21"/>
  </si>
  <si>
    <t>レベル３に満たない</t>
    <phoneticPr fontId="21"/>
  </si>
  <si>
    <t>冷暖房平均COPが1.25以上の熱源機器を採用</t>
    <phoneticPr fontId="21"/>
  </si>
  <si>
    <t>レベル３に加え、空調対象面積の50％以上に全熱交換器を採用</t>
    <phoneticPr fontId="21"/>
  </si>
  <si>
    <t>＜７種類の制御方式＞
カード・センサー等による在室検知制御、明るさ感知による自動点滅制御、適正照度制御（初期照度補正）、タイムスケジュール制御、昼光利用照明制御、ゾーニング制御、局所制御</t>
    <phoneticPr fontId="21"/>
  </si>
  <si>
    <t>レベル３に満たない</t>
    <phoneticPr fontId="2"/>
  </si>
  <si>
    <t>レベル３に加え、７種類のうち２種類以上採用されている。</t>
    <phoneticPr fontId="2"/>
  </si>
  <si>
    <t>レベル３に加え、７種類のうち４種類以上採用されている。</t>
    <phoneticPr fontId="2"/>
  </si>
  <si>
    <t>1)地域の温熱環境状況に関する事前調査の実施</t>
  </si>
  <si>
    <t>既存なし</t>
    <rPh sb="0" eb="2">
      <t>キソン</t>
    </rPh>
    <phoneticPr fontId="21"/>
  </si>
  <si>
    <t>②①に加えさらに現地測定を行った場合や広域気象データや地形データに基づいた広域大気環境予測システムで補完してより詳細に調査した場合(2ポイント)</t>
  </si>
  <si>
    <t>II敷地外への熱的な影響を低減する対策</t>
  </si>
  <si>
    <t>Lr-40　またはそれより良い</t>
    <phoneticPr fontId="21"/>
  </si>
  <si>
    <t>1.2.4 界床遮音性能（重量衝撃源）</t>
    <phoneticPr fontId="21"/>
  </si>
  <si>
    <t>人のとびはねや走り回る音がうるさい。　</t>
    <phoneticPr fontId="21"/>
  </si>
  <si>
    <t>人のとびはねや走り回る音がかなり気になる。</t>
    <phoneticPr fontId="21"/>
  </si>
  <si>
    <t>人のとびはねや走り回る音がよく聞こえる。</t>
    <phoneticPr fontId="21"/>
  </si>
  <si>
    <t>人のとびはねや走り回る音が聞こえる。</t>
    <phoneticPr fontId="21"/>
  </si>
  <si>
    <t>人のとびはねや走り回る音が小さく聞こえる。</t>
    <phoneticPr fontId="21"/>
  </si>
  <si>
    <t>人のとびはねや走り回る音が聞こえるが意識することはあまりない。</t>
    <phoneticPr fontId="21"/>
  </si>
  <si>
    <t>Lr-60より悪い</t>
    <phoneticPr fontId="21"/>
  </si>
  <si>
    <t>Lr-45　またはそれより良い</t>
    <phoneticPr fontId="21"/>
  </si>
  <si>
    <t>病・ホ</t>
    <phoneticPr fontId="21"/>
  </si>
  <si>
    <t>壁、床、天井のうち二面に吸音材を使用している。</t>
    <phoneticPr fontId="21"/>
  </si>
  <si>
    <t>壁、床、天井に吸音材を使用している。</t>
    <phoneticPr fontId="21"/>
  </si>
  <si>
    <t>建物全体・共用部分</t>
    <phoneticPr fontId="21"/>
  </si>
  <si>
    <t>事</t>
    <phoneticPr fontId="21"/>
  </si>
  <si>
    <t>学(大学等)</t>
    <phoneticPr fontId="21"/>
  </si>
  <si>
    <t>物・飲・会</t>
    <phoneticPr fontId="21"/>
  </si>
  <si>
    <t>住</t>
    <phoneticPr fontId="21"/>
  </si>
  <si>
    <t>冬期20℃、夏期28℃と多少我慢を強いる室温設定。</t>
    <phoneticPr fontId="21"/>
  </si>
  <si>
    <t>冬期10℃以上、夏期30℃以下と多少我慢を強いる室温設定。</t>
    <phoneticPr fontId="21"/>
  </si>
  <si>
    <t>冬期18℃、夏期28℃程度と多少我慢を強いる室温設定。</t>
    <phoneticPr fontId="21"/>
  </si>
  <si>
    <t>各室において冬期18℃、夏期28℃程度を強いる設定としている。</t>
    <phoneticPr fontId="21"/>
  </si>
  <si>
    <t>一般的な冬期22℃、夏期26℃の設定。</t>
    <phoneticPr fontId="21"/>
  </si>
  <si>
    <t>王子製紙株式会社</t>
  </si>
  <si>
    <t>沖縄電力株式会社</t>
  </si>
  <si>
    <t>株式会社Ｆ－Ｐｏｗｅｒ</t>
  </si>
  <si>
    <t>株式会社エネット</t>
  </si>
  <si>
    <t>関西電力株式会社</t>
  </si>
  <si>
    <t>丸紅株式会社</t>
  </si>
  <si>
    <t>九州電力株式会社</t>
  </si>
  <si>
    <t>四国電力株式会社</t>
  </si>
  <si>
    <t>昭和シェル石油株式会社</t>
  </si>
  <si>
    <t>中国電力株式会社</t>
  </si>
  <si>
    <t>中部電力株式会社</t>
  </si>
  <si>
    <t>東京電力株式会社</t>
  </si>
  <si>
    <t>東北電力株式会社</t>
  </si>
  <si>
    <t>北海道電力株式会社</t>
  </si>
  <si>
    <t>北陸電力株式会社</t>
  </si>
  <si>
    <t>←</t>
    <phoneticPr fontId="21"/>
  </si>
  <si>
    <t>■使用評価ソフト：</t>
    <rPh sb="1" eb="3">
      <t>シヨウ</t>
    </rPh>
    <rPh sb="3" eb="5">
      <t>ヒョウカ</t>
    </rPh>
    <phoneticPr fontId="21"/>
  </si>
  <si>
    <r>
      <t>1-1</t>
    </r>
    <r>
      <rPr>
        <b/>
        <sz val="12"/>
        <color indexed="9"/>
        <rFont val="ＭＳ Ｐゴシック"/>
        <family val="3"/>
        <charset val="128"/>
      </rPr>
      <t>　建物概要</t>
    </r>
    <rPh sb="4" eb="5">
      <t>ｹﾝ</t>
    </rPh>
    <rPh sb="5" eb="6">
      <t>ﾓﾉ</t>
    </rPh>
    <rPh sb="6" eb="8">
      <t>ｶﾞｲﾖｳ</t>
    </rPh>
    <phoneticPr fontId="34" type="noConversion"/>
  </si>
  <si>
    <r>
      <t>1-2</t>
    </r>
    <r>
      <rPr>
        <b/>
        <sz val="12"/>
        <color indexed="9"/>
        <rFont val="ＭＳ Ｐゴシック"/>
        <family val="3"/>
        <charset val="128"/>
      </rPr>
      <t>　外観</t>
    </r>
    <rPh sb="4" eb="6">
      <t>ガイカン</t>
    </rPh>
    <phoneticPr fontId="21"/>
  </si>
  <si>
    <t>BEE rank</t>
    <phoneticPr fontId="21"/>
  </si>
  <si>
    <t>radar chart</t>
    <phoneticPr fontId="21"/>
  </si>
  <si>
    <t>建物名称</t>
    <rPh sb="0" eb="2">
      <t>ﾀﾃﾓﾉ</t>
    </rPh>
    <rPh sb="2" eb="4">
      <t>ﾒｲｼｮｳ</t>
    </rPh>
    <phoneticPr fontId="34" type="noConversion"/>
  </si>
  <si>
    <t>階数</t>
    <rPh sb="0" eb="2">
      <t>カイスウ</t>
    </rPh>
    <phoneticPr fontId="21"/>
  </si>
  <si>
    <t>radar chart</t>
  </si>
  <si>
    <t>Score(RoundDown)</t>
    <phoneticPr fontId="21"/>
  </si>
  <si>
    <t>建設地</t>
    <rPh sb="0" eb="3">
      <t>ｹﾝｾﾂﾁ</t>
    </rPh>
    <phoneticPr fontId="34" type="noConversion"/>
  </si>
  <si>
    <t>構造</t>
    <rPh sb="0" eb="2">
      <t>コウゾウ</t>
    </rPh>
    <phoneticPr fontId="21"/>
  </si>
  <si>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1"/>
  </si>
  <si>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</si>
  <si>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1"/>
  </si>
  <si>
    <t>１５年</t>
  </si>
  <si>
    <t>平均居住人員</t>
    <rPh sb="0" eb="2">
      <t>ﾍｲｷﾝ</t>
    </rPh>
    <rPh sb="2" eb="4">
      <t>ｷｮｼﾞｭｳ</t>
    </rPh>
    <rPh sb="4" eb="6">
      <t>ｼﾞﾝｲﾝ</t>
    </rPh>
    <phoneticPr fontId="34" type="noConversion"/>
  </si>
  <si>
    <t>人</t>
    <rPh sb="0" eb="1">
      <t>ニン</t>
    </rPh>
    <phoneticPr fontId="21"/>
  </si>
  <si>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1"/>
  </si>
  <si>
    <t>年間使用時間</t>
    <rPh sb="0" eb="2">
      <t>ﾈﾝｶﾝ</t>
    </rPh>
    <rPh sb="2" eb="4">
      <t>ｼﾖｳ</t>
    </rPh>
    <rPh sb="4" eb="6">
      <t>ｼﾞｶﾝ</t>
    </rPh>
    <phoneticPr fontId="34" type="noConversion"/>
  </si>
  <si>
    <r>
      <t>時間</t>
    </r>
    <r>
      <rPr>
        <sz val="10"/>
        <rFont val="Arial"/>
        <family val="2"/>
      </rPr>
      <t>/</t>
    </r>
    <r>
      <rPr>
        <sz val="10"/>
        <rFont val="ＭＳ Ｐゴシック"/>
        <family val="3"/>
        <charset val="128"/>
      </rPr>
      <t>年</t>
    </r>
    <rPh sb="0" eb="2">
      <t>ジカン</t>
    </rPh>
    <rPh sb="3" eb="4">
      <t>ネン</t>
    </rPh>
    <phoneticPr fontId="21"/>
  </si>
  <si>
    <t>L</t>
    <phoneticPr fontId="21"/>
  </si>
  <si>
    <t>LR3 
敷地外環境</t>
    <rPh sb="5" eb="7">
      <t>シキチ</t>
    </rPh>
    <rPh sb="7" eb="8">
      <t>ガイ</t>
    </rPh>
    <rPh sb="8" eb="10">
      <t>カンキョウ</t>
    </rPh>
    <phoneticPr fontId="21"/>
  </si>
  <si>
    <t>建物用途</t>
    <rPh sb="0" eb="2">
      <t>ﾀﾃﾓﾉ</t>
    </rPh>
    <rPh sb="2" eb="4">
      <t>ﾖｳﾄ</t>
    </rPh>
    <phoneticPr fontId="34" type="noConversion"/>
  </si>
  <si>
    <t>評価の段階</t>
    <rPh sb="0" eb="2">
      <t>ヒョウカ</t>
    </rPh>
    <rPh sb="3" eb="5">
      <t>ダンカイ</t>
    </rPh>
    <phoneticPr fontId="21"/>
  </si>
  <si>
    <t>外観パース等</t>
    <rPh sb="0" eb="2">
      <t>ガイカン</t>
    </rPh>
    <rPh sb="5" eb="6">
      <t>トウ</t>
    </rPh>
    <phoneticPr fontId="21"/>
  </si>
  <si>
    <t>BEE</t>
    <phoneticPr fontId="21"/>
  </si>
  <si>
    <t>LR2 資源・
マテリアル</t>
    <rPh sb="4" eb="6">
      <t>シゲン</t>
    </rPh>
    <phoneticPr fontId="21"/>
  </si>
  <si>
    <t>レベル３を満たさない。</t>
    <phoneticPr fontId="21"/>
  </si>
  <si>
    <t>（該当するレベルなし）</t>
    <phoneticPr fontId="21"/>
  </si>
  <si>
    <t>教室の不足がある</t>
    <phoneticPr fontId="21"/>
  </si>
  <si>
    <t>1人当たりの執務スペースが6㎡以上。</t>
    <phoneticPr fontId="21"/>
  </si>
  <si>
    <t>教室の不足がない</t>
    <phoneticPr fontId="21"/>
  </si>
  <si>
    <t>（該当するレベルなし）</t>
    <phoneticPr fontId="21"/>
  </si>
  <si>
    <t>1人当たりの執務スペースが12㎡以上。</t>
    <phoneticPr fontId="21"/>
  </si>
  <si>
    <t>主要構造部が木造躯体の時</t>
    <phoneticPr fontId="21"/>
  </si>
  <si>
    <t>CO2削減量</t>
    <rPh sb="3" eb="5">
      <t>サクゲン</t>
    </rPh>
    <rPh sb="5" eb="6">
      <t>リョウ</t>
    </rPh>
    <phoneticPr fontId="21"/>
  </si>
  <si>
    <t>算定に用いた排出係数</t>
    <rPh sb="0" eb="2">
      <t>サンテイ</t>
    </rPh>
    <rPh sb="3" eb="4">
      <t>モチ</t>
    </rPh>
    <rPh sb="6" eb="8">
      <t>ハイシュツ</t>
    </rPh>
    <rPh sb="8" eb="10">
      <t>ケイスウ</t>
    </rPh>
    <phoneticPr fontId="21"/>
  </si>
  <si>
    <t>2100N/㎡以上～2900N/㎡未満</t>
    <phoneticPr fontId="21"/>
  </si>
  <si>
    <t>各住戸または各客室に電話、放送に対応した通信回線が引き込まれている。</t>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</si>
  <si>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1"/>
  </si>
  <si>
    <t>レベル２を満たすとともに、レベル４に満たないインターネットサービスが提供されている。</t>
    <phoneticPr fontId="21"/>
  </si>
  <si>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1"/>
  </si>
  <si>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1"/>
  </si>
  <si>
    <t>各住戸または各客室にGbitクラスのブロードバンドが利用可能な環境が整備されていること。</t>
    <phoneticPr fontId="21"/>
  </si>
  <si>
    <t>-</t>
    <phoneticPr fontId="21"/>
  </si>
  <si>
    <r>
      <t xml:space="preserve">1.2.1 </t>
    </r>
    <r>
      <rPr>
        <b/>
        <sz val="10"/>
        <rFont val="ＭＳ Ｐゴシック"/>
        <family val="3"/>
        <charset val="128"/>
      </rPr>
      <t>広さ感・景観</t>
    </r>
    <phoneticPr fontId="21"/>
  </si>
  <si>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</si>
  <si>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</si>
  <si>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</si>
  <si>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8"/>
  </si>
  <si>
    <t>建物用途</t>
  </si>
  <si>
    <t>官公庁</t>
  </si>
  <si>
    <t>物販店舗等</t>
    <rPh sb="0" eb="2">
      <t>ブッパン</t>
    </rPh>
    <rPh sb="2" eb="4">
      <t>テンポ</t>
    </rPh>
    <rPh sb="4" eb="5">
      <t>トウ</t>
    </rPh>
    <phoneticPr fontId="21"/>
  </si>
  <si>
    <t>その他物販</t>
  </si>
  <si>
    <t>ホテル・旅館</t>
  </si>
  <si>
    <t>学校等</t>
    <rPh sb="0" eb="2">
      <t>ガッコウ</t>
    </rPh>
    <rPh sb="2" eb="3">
      <t>トウ</t>
    </rPh>
    <phoneticPr fontId="21"/>
  </si>
  <si>
    <t>幼稚園・保育園</t>
  </si>
  <si>
    <t>小・中学校</t>
  </si>
  <si>
    <t>北海道</t>
    <rPh sb="0" eb="3">
      <t>ホッカイドウ</t>
    </rPh>
    <phoneticPr fontId="21"/>
  </si>
  <si>
    <t>高校</t>
  </si>
  <si>
    <t>大学・専門学校</t>
  </si>
  <si>
    <t>集会所等</t>
    <rPh sb="0" eb="3">
      <t>シュウカイジョ</t>
    </rPh>
    <rPh sb="3" eb="4">
      <t>トウ</t>
    </rPh>
    <phoneticPr fontId="21"/>
  </si>
  <si>
    <t>劇場・ホール</t>
  </si>
  <si>
    <t>展示施設</t>
  </si>
  <si>
    <t>スポーツ施設</t>
  </si>
  <si>
    <t>エネルギー種別一次エネルギー構成比率</t>
    <rPh sb="5" eb="7">
      <t>シュベツ</t>
    </rPh>
    <rPh sb="7" eb="9">
      <t>イチジ</t>
    </rPh>
    <rPh sb="14" eb="16">
      <t>コウセイ</t>
    </rPh>
    <rPh sb="16" eb="18">
      <t>ヒリツ</t>
    </rPh>
    <phoneticPr fontId="4"/>
  </si>
  <si>
    <t>300㎡未満</t>
    <rPh sb="4" eb="6">
      <t>ミマン</t>
    </rPh>
    <phoneticPr fontId="4"/>
  </si>
  <si>
    <t>300㎡以上
2,000㎡未満</t>
    <rPh sb="4" eb="6">
      <t>イジョウ</t>
    </rPh>
    <rPh sb="13" eb="15">
      <t>ミマン</t>
    </rPh>
    <phoneticPr fontId="4"/>
  </si>
  <si>
    <t>2,000㎡以上
1万㎡未満</t>
    <rPh sb="6" eb="8">
      <t>イジョウ</t>
    </rPh>
    <rPh sb="10" eb="11">
      <t>マン</t>
    </rPh>
    <rPh sb="12" eb="14">
      <t>ミマン</t>
    </rPh>
    <phoneticPr fontId="4"/>
  </si>
  <si>
    <t>1万㎡以上
3万㎡未満</t>
    <rPh sb="1" eb="2">
      <t>マン</t>
    </rPh>
    <rPh sb="3" eb="5">
      <t>イジョウ</t>
    </rPh>
    <rPh sb="7" eb="8">
      <t>マン</t>
    </rPh>
    <rPh sb="9" eb="11">
      <t>ミマン</t>
    </rPh>
    <phoneticPr fontId="4"/>
  </si>
  <si>
    <t>3万㎡以上</t>
    <rPh sb="1" eb="2">
      <t>マン</t>
    </rPh>
    <rPh sb="3" eb="5">
      <t>イジョウ</t>
    </rPh>
    <phoneticPr fontId="4"/>
  </si>
  <si>
    <t>電気</t>
    <rPh sb="0" eb="2">
      <t>デンキ</t>
    </rPh>
    <phoneticPr fontId="4"/>
  </si>
  <si>
    <t>その他※</t>
    <rPh sb="2" eb="3">
      <t>ホカ</t>
    </rPh>
    <phoneticPr fontId="4"/>
  </si>
  <si>
    <t>-</t>
  </si>
  <si>
    <t>※集合住宅は灯油</t>
    <rPh sb="1" eb="3">
      <t>シュウゴウ</t>
    </rPh>
    <rPh sb="3" eb="5">
      <t>ジュウタク</t>
    </rPh>
    <rPh sb="6" eb="8">
      <t>トウユ</t>
    </rPh>
    <phoneticPr fontId="21"/>
  </si>
  <si>
    <t>設備の方式</t>
  </si>
  <si>
    <t>地域区分</t>
  </si>
  <si>
    <t>暖房</t>
  </si>
  <si>
    <t>冷房</t>
  </si>
  <si>
    <t>ａ</t>
  </si>
  <si>
    <t>レベル１</t>
  </si>
  <si>
    <t>Ａ</t>
  </si>
  <si>
    <t>ｂ</t>
  </si>
  <si>
    <t>Ｂ</t>
  </si>
  <si>
    <t>Ｃ</t>
  </si>
  <si>
    <t>専有部</t>
    <rPh sb="0" eb="2">
      <t>センユウ</t>
    </rPh>
    <rPh sb="2" eb="3">
      <t>ブ</t>
    </rPh>
    <phoneticPr fontId="21"/>
  </si>
  <si>
    <t>評価建物</t>
    <rPh sb="0" eb="2">
      <t>ヒョウカ</t>
    </rPh>
    <rPh sb="2" eb="4">
      <t>タテモノ</t>
    </rPh>
    <phoneticPr fontId="21"/>
  </si>
  <si>
    <t>暖房方式</t>
    <rPh sb="0" eb="2">
      <t>ダンボウ</t>
    </rPh>
    <rPh sb="2" eb="4">
      <t>ホウシキ</t>
    </rPh>
    <phoneticPr fontId="21"/>
  </si>
  <si>
    <t>冷房方式</t>
    <rPh sb="0" eb="2">
      <t>レイボウ</t>
    </rPh>
    <rPh sb="2" eb="4">
      <t>ホウシキ</t>
    </rPh>
    <phoneticPr fontId="21"/>
  </si>
  <si>
    <t>上記を満たさない場合はレベル１</t>
    <rPh sb="0" eb="2">
      <t>ジョウキ</t>
    </rPh>
    <rPh sb="3" eb="4">
      <t>ミ</t>
    </rPh>
    <rPh sb="8" eb="10">
      <t>バアイ</t>
    </rPh>
    <phoneticPr fontId="21"/>
  </si>
  <si>
    <t>CO2換算係数</t>
    <rPh sb="3" eb="5">
      <t>カンサン</t>
    </rPh>
    <rPh sb="5" eb="7">
      <t>ケイスウ</t>
    </rPh>
    <phoneticPr fontId="21"/>
  </si>
  <si>
    <t>㎡</t>
  </si>
  <si>
    <t>「DECC非住宅建築物の環境関連データーベース（2013年4月公開データ、一般財団法人日本サステナブル建築協会）」を集計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1"/>
  </si>
  <si>
    <t>工場については、統計値がないため、省エネ法告示第7号による事務所の照明エネルギー消費量としている。</t>
    <rPh sb="0" eb="2">
      <t>コウジョウ</t>
    </rPh>
    <rPh sb="8" eb="10">
      <t>トウケイ</t>
    </rPh>
    <rPh sb="10" eb="11">
      <t>チ</t>
    </rPh>
    <rPh sb="17" eb="18">
      <t>ショウ</t>
    </rPh>
    <rPh sb="20" eb="21">
      <t>ホウ</t>
    </rPh>
    <rPh sb="21" eb="23">
      <t>コクジ</t>
    </rPh>
    <rPh sb="23" eb="24">
      <t>ダイ</t>
    </rPh>
    <rPh sb="25" eb="26">
      <t>ゴウ</t>
    </rPh>
    <rPh sb="29" eb="31">
      <t>ジム</t>
    </rPh>
    <rPh sb="31" eb="32">
      <t>ショ</t>
    </rPh>
    <rPh sb="33" eb="35">
      <t>ショウメイ</t>
    </rPh>
    <rPh sb="40" eb="43">
      <t>ショウヒリョウ</t>
    </rPh>
    <phoneticPr fontId="21"/>
  </si>
  <si>
    <t>－</t>
    <phoneticPr fontId="21"/>
  </si>
  <si>
    <t xml:space="preserve">     小・中学校　(北海道)</t>
    <rPh sb="12" eb="15">
      <t>ホッカイドウ</t>
    </rPh>
    <phoneticPr fontId="21"/>
  </si>
  <si>
    <t xml:space="preserve">                     高校</t>
    <phoneticPr fontId="21"/>
  </si>
  <si>
    <t xml:space="preserve">         大学・専門学校</t>
    <phoneticPr fontId="21"/>
  </si>
  <si>
    <t>官公庁</t>
    <phoneticPr fontId="21"/>
  </si>
  <si>
    <t>その他物販</t>
    <phoneticPr fontId="21"/>
  </si>
  <si>
    <t>展示施設</t>
    <phoneticPr fontId="21"/>
  </si>
  <si>
    <t>スポーツ施設</t>
    <phoneticPr fontId="21"/>
  </si>
  <si>
    <t>㎡</t>
    <phoneticPr fontId="21"/>
  </si>
  <si>
    <t>小・中学校 (北海道以外）</t>
    <rPh sb="0" eb="1">
      <t>ショウ</t>
    </rPh>
    <rPh sb="2" eb="5">
      <t>チュウガッコウ</t>
    </rPh>
    <rPh sb="7" eb="10">
      <t>ホッカイドウ</t>
    </rPh>
    <rPh sb="10" eb="12">
      <t>イガイ</t>
    </rPh>
    <phoneticPr fontId="21"/>
  </si>
  <si>
    <t xml:space="preserve">                   共用部</t>
    <rPh sb="19" eb="21">
      <t>キョウヨウ</t>
    </rPh>
    <rPh sb="21" eb="22">
      <t>ブ</t>
    </rPh>
    <phoneticPr fontId="21"/>
  </si>
  <si>
    <t>㎡       幼稚園・保育園</t>
    <phoneticPr fontId="21"/>
  </si>
  <si>
    <t>㎡                  事務所</t>
    <phoneticPr fontId="21"/>
  </si>
  <si>
    <t>㎡   デパート・スーパー</t>
    <phoneticPr fontId="21"/>
  </si>
  <si>
    <t>㎡          劇場・ホール</t>
    <phoneticPr fontId="21"/>
  </si>
  <si>
    <t>㎡                  専用部</t>
    <rPh sb="19" eb="21">
      <t>センヨウ</t>
    </rPh>
    <rPh sb="21" eb="22">
      <t>ブ</t>
    </rPh>
    <phoneticPr fontId="21"/>
  </si>
  <si>
    <t>自然換気性能</t>
    <rPh sb="0" eb="2">
      <t>シゼン</t>
    </rPh>
    <rPh sb="2" eb="4">
      <t>カンキ</t>
    </rPh>
    <rPh sb="4" eb="6">
      <t>セイノウ</t>
    </rPh>
    <phoneticPr fontId="21"/>
  </si>
  <si>
    <t>取り入れ外気への配慮</t>
    <rPh sb="0" eb="1">
      <t>ト</t>
    </rPh>
    <rPh sb="2" eb="3">
      <t>イ</t>
    </rPh>
    <rPh sb="4" eb="6">
      <t>ガイキ</t>
    </rPh>
    <rPh sb="8" eb="10">
      <t>ハイリョ</t>
    </rPh>
    <phoneticPr fontId="21"/>
  </si>
  <si>
    <t>給気計画</t>
    <rPh sb="0" eb="1">
      <t>キュウ</t>
    </rPh>
    <rPh sb="1" eb="2">
      <t>キ</t>
    </rPh>
    <rPh sb="2" eb="4">
      <t>ケイカク</t>
    </rPh>
    <phoneticPr fontId="21"/>
  </si>
  <si>
    <t>運用管理</t>
    <rPh sb="0" eb="2">
      <t>ウンヨウ</t>
    </rPh>
    <rPh sb="2" eb="4">
      <t>カンリ</t>
    </rPh>
    <phoneticPr fontId="21"/>
  </si>
  <si>
    <r>
      <t>CO</t>
    </r>
    <r>
      <rPr>
        <vertAlign val="subscript"/>
        <sz val="10"/>
        <rFont val="ＭＳ Ｐゴシック"/>
        <family val="3"/>
        <charset val="128"/>
      </rPr>
      <t>2</t>
    </r>
    <r>
      <rPr>
        <sz val="10"/>
        <rFont val="ＭＳ Ｐゴシック"/>
        <family val="3"/>
        <charset val="128"/>
      </rPr>
      <t>の監視</t>
    </r>
    <rPh sb="4" eb="6">
      <t>カンシ</t>
    </rPh>
    <phoneticPr fontId="21"/>
  </si>
  <si>
    <t>喫煙の制御</t>
    <rPh sb="0" eb="2">
      <t>キツエン</t>
    </rPh>
    <rPh sb="3" eb="5">
      <t>セイギョ</t>
    </rPh>
    <phoneticPr fontId="21"/>
  </si>
  <si>
    <t>機能性</t>
    <rPh sb="0" eb="3">
      <t>ｷﾉｳｾｲ</t>
    </rPh>
    <phoneticPr fontId="34" type="noConversion"/>
  </si>
  <si>
    <t>機能性・使いやすさ</t>
    <rPh sb="0" eb="3">
      <t>キノウセイ</t>
    </rPh>
    <rPh sb="4" eb="5">
      <t>ツカ</t>
    </rPh>
    <phoneticPr fontId="21"/>
  </si>
  <si>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1"/>
  </si>
  <si>
    <t>3.2　換気設備</t>
    <rPh sb="4" eb="6">
      <t>カンキ</t>
    </rPh>
    <rPh sb="6" eb="8">
      <t>セツビ</t>
    </rPh>
    <phoneticPr fontId="21"/>
  </si>
  <si>
    <t>3.3　照明設備</t>
    <rPh sb="4" eb="6">
      <t>ショウメイ</t>
    </rPh>
    <rPh sb="6" eb="8">
      <t>セツビ</t>
    </rPh>
    <phoneticPr fontId="21"/>
  </si>
  <si>
    <t>Hf(高周波点灯専用型）が採用されている。</t>
    <rPh sb="13" eb="15">
      <t>サイヨウ</t>
    </rPh>
    <phoneticPr fontId="2"/>
  </si>
  <si>
    <t>3.4　給湯設備</t>
    <rPh sb="4" eb="6">
      <t>キュウトウ</t>
    </rPh>
    <rPh sb="6" eb="8">
      <t>セツビ</t>
    </rPh>
    <phoneticPr fontId="21"/>
  </si>
  <si>
    <t>3.5　昇降機設備</t>
    <rPh sb="4" eb="7">
      <t>ショウコウキ</t>
    </rPh>
    <rPh sb="7" eb="9">
      <t>セツビ</t>
    </rPh>
    <phoneticPr fontId="21"/>
  </si>
  <si>
    <t>塗膜防水の塗料</t>
    <rPh sb="0" eb="1">
      <t>ヌ</t>
    </rPh>
    <rPh sb="1" eb="2">
      <t>マク</t>
    </rPh>
    <rPh sb="2" eb="4">
      <t>ボウスイ</t>
    </rPh>
    <rPh sb="5" eb="7">
      <t>トリョウ</t>
    </rPh>
    <phoneticPr fontId="21"/>
  </si>
  <si>
    <t>塗料</t>
    <rPh sb="0" eb="2">
      <t>トリョウ</t>
    </rPh>
    <phoneticPr fontId="21"/>
  </si>
  <si>
    <t>建具塗装（木製・金属製）</t>
    <rPh sb="0" eb="2">
      <t>タテグ</t>
    </rPh>
    <rPh sb="2" eb="4">
      <t>トソウ</t>
    </rPh>
    <rPh sb="5" eb="7">
      <t>モクセイ</t>
    </rPh>
    <rPh sb="8" eb="11">
      <t>キンゾクセイ</t>
    </rPh>
    <phoneticPr fontId="21"/>
  </si>
  <si>
    <t>木部塗装（巾木・廻り縁など）</t>
    <rPh sb="0" eb="2">
      <t>モクブ</t>
    </rPh>
    <rPh sb="2" eb="4">
      <t>トソウ</t>
    </rPh>
    <rPh sb="5" eb="6">
      <t>ハバ</t>
    </rPh>
    <rPh sb="6" eb="7">
      <t>キ</t>
    </rPh>
    <rPh sb="8" eb="9">
      <t>マワ</t>
    </rPh>
    <rPh sb="10" eb="11">
      <t>ブチ</t>
    </rPh>
    <phoneticPr fontId="21"/>
  </si>
  <si>
    <t>構造体の塗装</t>
    <rPh sb="0" eb="3">
      <t>コウゾウタイ</t>
    </rPh>
    <rPh sb="4" eb="6">
      <t>トソウ</t>
    </rPh>
    <phoneticPr fontId="21"/>
  </si>
  <si>
    <t>壁塗装</t>
    <rPh sb="0" eb="1">
      <t>カベ</t>
    </rPh>
    <rPh sb="1" eb="3">
      <t>トソウ</t>
    </rPh>
    <phoneticPr fontId="21"/>
  </si>
  <si>
    <t>II 分別回収を推進するための空間整備や設備の設置</t>
    <phoneticPr fontId="21"/>
  </si>
  <si>
    <t>1～2</t>
    <phoneticPr fontId="21"/>
  </si>
  <si>
    <t>III ゴミの減容化・減量化、あるいは堆肥化するための設備の設置</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</si>
  <si>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を上回っている</t>
    </r>
    <phoneticPr fontId="21"/>
  </si>
  <si>
    <t>レベル３</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</si>
  <si>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以下に抑えられている</t>
    </r>
    <phoneticPr fontId="21"/>
  </si>
  <si>
    <t>周辺のまちなみや景観に対して、取組みが十分とはいえない。(評価ポイント1～2）</t>
    <phoneticPr fontId="21"/>
  </si>
  <si>
    <t>植栽により、良好な景観を形成している。</t>
    <phoneticPr fontId="21"/>
  </si>
  <si>
    <t>3）景観の歴史の継承</t>
    <phoneticPr fontId="21"/>
  </si>
  <si>
    <t>LR-3 敷地外環境</t>
    <rPh sb="5" eb="7">
      <t>シキチ</t>
    </rPh>
    <rPh sb="7" eb="8">
      <t>ガイ</t>
    </rPh>
    <rPh sb="8" eb="10">
      <t>カンキョウ</t>
    </rPh>
    <phoneticPr fontId="21"/>
  </si>
  <si>
    <t>熱負荷抑制</t>
    <rPh sb="0" eb="1">
      <t>ネツ</t>
    </rPh>
    <rPh sb="1" eb="3">
      <t>フカ</t>
    </rPh>
    <rPh sb="3" eb="5">
      <t>ヨクセイ</t>
    </rPh>
    <phoneticPr fontId="21"/>
  </si>
  <si>
    <t>水資源</t>
    <rPh sb="0" eb="1">
      <t>ミズ</t>
    </rPh>
    <rPh sb="1" eb="3">
      <t>シゲン</t>
    </rPh>
    <phoneticPr fontId="21"/>
  </si>
  <si>
    <t>LR2</t>
    <phoneticPr fontId="21"/>
  </si>
  <si>
    <t>昼光の建物外壁による反射光（グレア）への対策</t>
    <rPh sb="0" eb="1">
      <t>ﾋﾙ</t>
    </rPh>
    <rPh sb="1" eb="2">
      <t>ﾋｶﾘ</t>
    </rPh>
    <rPh sb="3" eb="5">
      <t>ﾀﾃﾓﾉ</t>
    </rPh>
    <rPh sb="5" eb="7">
      <t>ｶﾞｲﾍｷ</t>
    </rPh>
    <rPh sb="10" eb="13">
      <t>ﾊﾝｼｬｺｳ</t>
    </rPh>
    <rPh sb="20" eb="22">
      <t>ﾀｲｻｸ</t>
    </rPh>
    <phoneticPr fontId="34"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</si>
  <si>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1"/>
  </si>
  <si>
    <t>評価対象</t>
    <rPh sb="0" eb="2">
      <t>ヒョウカ</t>
    </rPh>
    <rPh sb="2" eb="4">
      <t>タイショウ</t>
    </rPh>
    <phoneticPr fontId="21"/>
  </si>
  <si>
    <t>参照値</t>
    <rPh sb="0" eb="2">
      <t>サンショウ</t>
    </rPh>
    <rPh sb="2" eb="3">
      <t>チ</t>
    </rPh>
    <phoneticPr fontId="21"/>
  </si>
  <si>
    <t>LR2/2.3 躯体材料におけるﾘｻｲｸﾙ材（高炉セメント）</t>
    <rPh sb="8" eb="10">
      <t>クタイ</t>
    </rPh>
    <rPh sb="10" eb="12">
      <t>ザイリョウ</t>
    </rPh>
    <rPh sb="21" eb="22">
      <t>ザイ</t>
    </rPh>
    <rPh sb="23" eb="25">
      <t>コウロ</t>
    </rPh>
    <phoneticPr fontId="21"/>
  </si>
  <si>
    <t>1-2.　合計の計算</t>
    <rPh sb="5" eb="7">
      <t>ゴウケイ</t>
    </rPh>
    <rPh sb="8" eb="10">
      <t>ケイサン</t>
    </rPh>
    <phoneticPr fontId="21"/>
  </si>
  <si>
    <t>建物寿命</t>
    <rPh sb="0" eb="2">
      <t>タテモノ</t>
    </rPh>
    <rPh sb="2" eb="4">
      <t>ジュミョウ</t>
    </rPh>
    <phoneticPr fontId="21"/>
  </si>
  <si>
    <t>代表的な資材量</t>
    <rPh sb="0" eb="3">
      <t>ダイヒョウテキ</t>
    </rPh>
    <rPh sb="4" eb="6">
      <t>シザイ</t>
    </rPh>
    <rPh sb="6" eb="7">
      <t>リョウ</t>
    </rPh>
    <phoneticPr fontId="21"/>
  </si>
  <si>
    <t>LR2/2.2 既存建築躯体</t>
    <rPh sb="8" eb="10">
      <t>キソン</t>
    </rPh>
    <rPh sb="10" eb="12">
      <t>ケンチク</t>
    </rPh>
    <rPh sb="12" eb="14">
      <t>クタイ</t>
    </rPh>
    <phoneticPr fontId="21"/>
  </si>
  <si>
    <t>LR2/2.3 ﾘｻｲｸﾙ材（高炉セメント）</t>
    <rPh sb="13" eb="14">
      <t>ザイ</t>
    </rPh>
    <rPh sb="15" eb="17">
      <t>コウロ</t>
    </rPh>
    <phoneticPr fontId="21"/>
  </si>
  <si>
    <t>普通コンクリート</t>
    <rPh sb="0" eb="2">
      <t>フツウ</t>
    </rPh>
    <phoneticPr fontId="21"/>
  </si>
  <si>
    <t>ｍ3/㎡</t>
  </si>
  <si>
    <t>高炉セメントコンクリート</t>
    <rPh sb="0" eb="2">
      <t>コウロ</t>
    </rPh>
    <phoneticPr fontId="21"/>
  </si>
  <si>
    <t>鉄　骨</t>
    <rPh sb="0" eb="1">
      <t>テツ</t>
    </rPh>
    <rPh sb="2" eb="3">
      <t>ホネ</t>
    </rPh>
    <phoneticPr fontId="21"/>
  </si>
  <si>
    <t>ｔ/㎡</t>
  </si>
  <si>
    <t>鉄骨 (電炉）</t>
    <rPh sb="0" eb="1">
      <t>テツ</t>
    </rPh>
    <rPh sb="1" eb="2">
      <t>ホネ</t>
    </rPh>
    <rPh sb="4" eb="6">
      <t>デンロ</t>
    </rPh>
    <phoneticPr fontId="21"/>
  </si>
  <si>
    <t>鉄　筋</t>
    <rPh sb="0" eb="1">
      <t>テツ</t>
    </rPh>
    <rPh sb="2" eb="3">
      <t>スジ</t>
    </rPh>
    <phoneticPr fontId="21"/>
  </si>
  <si>
    <t>㎡</t>
    <phoneticPr fontId="21"/>
  </si>
  <si>
    <t>住戸部その他エネルギー（家電・調理分）の簡易計算</t>
    <rPh sb="0" eb="2">
      <t>ジュウコ</t>
    </rPh>
    <rPh sb="2" eb="3">
      <t>ブ</t>
    </rPh>
    <rPh sb="5" eb="6">
      <t>ホカ</t>
    </rPh>
    <rPh sb="12" eb="14">
      <t>カデン</t>
    </rPh>
    <rPh sb="15" eb="17">
      <t>チョウリ</t>
    </rPh>
    <rPh sb="17" eb="18">
      <t>ブン</t>
    </rPh>
    <rPh sb="20" eb="22">
      <t>カンイ</t>
    </rPh>
    <rPh sb="22" eb="24">
      <t>ケイサン</t>
    </rPh>
    <phoneticPr fontId="21"/>
  </si>
  <si>
    <t>ERRへの換算</t>
    <rPh sb="5" eb="7">
      <t>カンサン</t>
    </rPh>
    <phoneticPr fontId="21"/>
  </si>
  <si>
    <t>◇算定省令に基づく電気事業者ごとの実排出係数及び代替値</t>
    <phoneticPr fontId="21"/>
  </si>
  <si>
    <t>ｔ-CO2/kWh</t>
    <phoneticPr fontId="21"/>
  </si>
  <si>
    <t xml:space="preserve"> [1]実排出係数 </t>
    <phoneticPr fontId="21"/>
  </si>
  <si>
    <t>　（１）評価条件として、与えられた排出係数を用いる場合</t>
    <phoneticPr fontId="21"/>
  </si>
  <si>
    <t>排出係数</t>
    <phoneticPr fontId="21"/>
  </si>
  <si>
    <t>N.A.</t>
    <phoneticPr fontId="21"/>
  </si>
  <si>
    <t>(t-CO2/kWh)</t>
    <phoneticPr fontId="21"/>
  </si>
  <si>
    <t>　　①</t>
    <phoneticPr fontId="21"/>
  </si>
  <si>
    <t>電気事業者（一般電気事業者及び特定規模電気事業者（PPS））から供給された電気</t>
    <phoneticPr fontId="21"/>
  </si>
  <si>
    <t>排出係数</t>
    <phoneticPr fontId="21"/>
  </si>
  <si>
    <t>　　②</t>
    <phoneticPr fontId="21"/>
  </si>
  <si>
    <t>　　③</t>
    <phoneticPr fontId="21"/>
  </si>
  <si>
    <t>代替値</t>
    <phoneticPr fontId="21"/>
  </si>
  <si>
    <t>(t-CO2/kWh)</t>
    <phoneticPr fontId="21"/>
  </si>
  <si>
    <t>　（３）上記以外の場合</t>
    <phoneticPr fontId="21"/>
  </si>
  <si>
    <t>SQ</t>
    <phoneticPr fontId="21"/>
  </si>
  <si>
    <t>background</t>
    <phoneticPr fontId="21"/>
  </si>
  <si>
    <t>Score(RoundDown)</t>
    <phoneticPr fontId="21"/>
  </si>
  <si>
    <t>std</t>
    <phoneticPr fontId="21"/>
  </si>
  <si>
    <t>SLR</t>
    <phoneticPr fontId="21"/>
  </si>
  <si>
    <t>Q2</t>
    <phoneticPr fontId="21"/>
  </si>
  <si>
    <t>全般照明方式の場合で室内にやや不快に感じる程度の暗い部分がある。</t>
    <phoneticPr fontId="21"/>
  </si>
  <si>
    <t>全般照明方式の場合で室内にほとんど暗い部分がない。</t>
    <phoneticPr fontId="21"/>
  </si>
  <si>
    <t>病</t>
    <phoneticPr fontId="21"/>
  </si>
  <si>
    <t>照明制御ができない。</t>
    <phoneticPr fontId="21"/>
  </si>
  <si>
    <t>執務者・売り場等について複数単位の大まかな照明制御ができる。</t>
    <phoneticPr fontId="21"/>
  </si>
  <si>
    <t>明るさや学習形態に応じた制御区画であり、在室者自らが点灯・消灯によって制御できる</t>
    <phoneticPr fontId="21"/>
  </si>
  <si>
    <t>各執務者・売り場等の部分について、細かな照明制御ができる、または、自動照明制御ができる。</t>
    <phoneticPr fontId="21"/>
  </si>
  <si>
    <t>レベル３を満たしている。かつ、部分的に自動調光ができる。</t>
    <phoneticPr fontId="21"/>
  </si>
  <si>
    <t>制御区画が分かれていない、かつ、照明制御盤・器具等で調整できない。</t>
    <phoneticPr fontId="21"/>
  </si>
  <si>
    <t>明るさや学習形態に応じた制御区画ではない。</t>
    <phoneticPr fontId="21"/>
  </si>
  <si>
    <t>照明制御ができない。</t>
    <phoneticPr fontId="21"/>
  </si>
  <si>
    <t>明るさや学習形態に応じた制御区画であり、在室者自らが点灯・消灯によって制御できる</t>
    <phoneticPr fontId="21"/>
  </si>
  <si>
    <t>風害、砂塵、日照阻害の抑制</t>
    <rPh sb="0" eb="2">
      <t>ﾌｳｶﾞｲ</t>
    </rPh>
    <rPh sb="3" eb="5">
      <t>ｻｼﾞﾝ</t>
    </rPh>
    <rPh sb="6" eb="8">
      <t>ﾆｯｼｮｳ</t>
    </rPh>
    <rPh sb="8" eb="10">
      <t>ｿｶﾞｲ</t>
    </rPh>
    <rPh sb="11" eb="13">
      <t>ﾖｸｾｲ</t>
    </rPh>
    <phoneticPr fontId="34" type="noConversion"/>
  </si>
  <si>
    <t>病(診)</t>
    <rPh sb="0" eb="1">
      <t>ビョウ</t>
    </rPh>
    <rPh sb="2" eb="3">
      <t>ミ</t>
    </rPh>
    <phoneticPr fontId="21"/>
  </si>
  <si>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</si>
  <si>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</si>
  <si>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1"/>
  </si>
  <si>
    <r>
      <t xml:space="preserve">2.3.1 </t>
    </r>
    <r>
      <rPr>
        <b/>
        <sz val="10"/>
        <rFont val="ＭＳ Ｐゴシック"/>
        <family val="3"/>
        <charset val="128"/>
      </rPr>
      <t>上下温度差</t>
    </r>
    <rPh sb="6" eb="8">
      <t>ジョウゲ</t>
    </rPh>
    <rPh sb="8" eb="11">
      <t>オンドサ</t>
    </rPh>
    <phoneticPr fontId="21"/>
  </si>
  <si>
    <r>
      <t xml:space="preserve">2.3.2 </t>
    </r>
    <r>
      <rPr>
        <b/>
        <sz val="10"/>
        <rFont val="ＭＳ Ｐゴシック"/>
        <family val="3"/>
        <charset val="128"/>
      </rPr>
      <t>平均気流速度</t>
    </r>
    <rPh sb="6" eb="8">
      <t>ヘイキン</t>
    </rPh>
    <rPh sb="8" eb="10">
      <t>キリュウ</t>
    </rPh>
    <rPh sb="10" eb="12">
      <t>ソクド</t>
    </rPh>
    <phoneticPr fontId="21"/>
  </si>
  <si>
    <t>事・学・物・飲・会・病（待・診）・ホ・工・住</t>
    <rPh sb="0" eb="1">
      <t>コト</t>
    </rPh>
    <rPh sb="2" eb="3">
      <t>ガク</t>
    </rPh>
    <rPh sb="4" eb="5">
      <t>モノ</t>
    </rPh>
    <rPh sb="6" eb="7">
      <t>イン</t>
    </rPh>
    <rPh sb="8" eb="9">
      <t>カイ</t>
    </rPh>
    <rPh sb="10" eb="11">
      <t>ヤマイ</t>
    </rPh>
    <rPh sb="21" eb="22">
      <t>ジュウ</t>
    </rPh>
    <phoneticPr fontId="21"/>
  </si>
  <si>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</si>
  <si>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</si>
  <si>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</si>
  <si>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</si>
  <si>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</si>
  <si>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</si>
  <si>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</si>
  <si>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</si>
  <si>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</si>
  <si>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1"/>
  </si>
  <si>
    <t>学(小中高)</t>
    <rPh sb="2" eb="5">
      <t>ショウチュウコウ</t>
    </rPh>
    <phoneticPr fontId="21"/>
  </si>
  <si>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</si>
  <si>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</si>
  <si>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1"/>
  </si>
  <si>
    <t>3）校庭を砂塵が発生しない舗装または芝生としている。</t>
  </si>
  <si>
    <r>
      <t xml:space="preserve">3.2.3 </t>
    </r>
    <r>
      <rPr>
        <b/>
        <sz val="10"/>
        <rFont val="ＭＳ Ｐゴシック"/>
        <family val="3"/>
        <charset val="128"/>
      </rPr>
      <t>日照阻害の抑制</t>
    </r>
    <rPh sb="6" eb="8">
      <t>ニッショウ</t>
    </rPh>
    <phoneticPr fontId="21"/>
  </si>
  <si>
    <t>光害の抑制</t>
    <rPh sb="0" eb="1">
      <t>ヒカリ</t>
    </rPh>
    <rPh sb="1" eb="2">
      <t>ガイ</t>
    </rPh>
    <rPh sb="3" eb="5">
      <t>ヨクセイ</t>
    </rPh>
    <phoneticPr fontId="21"/>
  </si>
  <si>
    <t>評価する取組み</t>
    <rPh sb="0" eb="2">
      <t>ヒョウカ</t>
    </rPh>
    <rPh sb="4" eb="5">
      <t>ト</t>
    </rPh>
    <rPh sb="5" eb="6">
      <t>ク</t>
    </rPh>
    <phoneticPr fontId="21"/>
  </si>
  <si>
    <t>1)　屋外照明および屋内照明のうち外に漏れる光</t>
  </si>
  <si>
    <t>配管からの騒音（透過騒音）</t>
    <rPh sb="0" eb="2">
      <t>ハイカン</t>
    </rPh>
    <rPh sb="5" eb="7">
      <t>ソウオン</t>
    </rPh>
    <rPh sb="8" eb="10">
      <t>トウカ</t>
    </rPh>
    <rPh sb="10" eb="12">
      <t>ソウオン</t>
    </rPh>
    <phoneticPr fontId="21"/>
  </si>
  <si>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</si>
  <si>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</si>
  <si>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</si>
  <si>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</si>
  <si>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</si>
  <si>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1"/>
  </si>
  <si>
    <t>学・物・飲・会</t>
    <rPh sb="0" eb="1">
      <t>ガク</t>
    </rPh>
    <rPh sb="2" eb="3">
      <t>ブツ</t>
    </rPh>
    <rPh sb="4" eb="5">
      <t>イン</t>
    </rPh>
    <rPh sb="6" eb="7">
      <t>カイ</t>
    </rPh>
    <phoneticPr fontId="21"/>
  </si>
  <si>
    <t>急激な負荷変動に対する考慮は特にしていない。</t>
  </si>
  <si>
    <t>一般的な負荷変動を考慮し、ある程度制御可能なシステムになっている。</t>
  </si>
  <si>
    <t>食堂</t>
    <rPh sb="0" eb="2">
      <t>ショクドウ</t>
    </rPh>
    <phoneticPr fontId="21"/>
  </si>
  <si>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1"/>
  </si>
  <si>
    <r>
      <t xml:space="preserve">1.1.2 </t>
    </r>
    <r>
      <rPr>
        <b/>
        <sz val="10"/>
        <rFont val="ＭＳ Ｐゴシック"/>
        <family val="3"/>
        <charset val="128"/>
      </rPr>
      <t>設備騒音対策</t>
    </r>
    <rPh sb="6" eb="8">
      <t>セツビ</t>
    </rPh>
    <rPh sb="8" eb="10">
      <t>ソウオン</t>
    </rPh>
    <rPh sb="10" eb="11">
      <t>タイ</t>
    </rPh>
    <rPh sb="11" eb="12">
      <t>サク</t>
    </rPh>
    <phoneticPr fontId="21"/>
  </si>
  <si>
    <t>建物全体・共用部分</t>
    <phoneticPr fontId="21"/>
  </si>
  <si>
    <t>住</t>
  </si>
  <si>
    <t>騒音対策を行っていない（評価する取組みにおいてなんら取組みがない）</t>
  </si>
  <si>
    <t>防音管巻き、位置など</t>
    <rPh sb="0" eb="2">
      <t>ボウオン</t>
    </rPh>
    <rPh sb="2" eb="3">
      <t>カン</t>
    </rPh>
    <rPh sb="3" eb="4">
      <t>マ</t>
    </rPh>
    <rPh sb="6" eb="8">
      <t>イチ</t>
    </rPh>
    <phoneticPr fontId="21"/>
  </si>
  <si>
    <t>防振吊り、防振支持、フレキシブルジョイント、貫通部の防振施工など</t>
  </si>
  <si>
    <t>同上（固体伝播音）</t>
    <rPh sb="0" eb="2">
      <t>ドウジョウ</t>
    </rPh>
    <rPh sb="3" eb="5">
      <t>コタイ</t>
    </rPh>
    <rPh sb="5" eb="7">
      <t>デンパン</t>
    </rPh>
    <rPh sb="7" eb="8">
      <t>オン</t>
    </rPh>
    <phoneticPr fontId="21"/>
  </si>
  <si>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1"/>
  </si>
  <si>
    <t>防音塀、遮蔽体、防振支持、位置など</t>
    <rPh sb="0" eb="2">
      <t>ボウオン</t>
    </rPh>
    <rPh sb="2" eb="3">
      <t>ヘイ</t>
    </rPh>
    <phoneticPr fontId="21"/>
  </si>
  <si>
    <t>ビルマルチエアコン室内機等からの騒音</t>
    <rPh sb="9" eb="12">
      <t>シツナイキ</t>
    </rPh>
    <rPh sb="12" eb="13">
      <t>トウ</t>
    </rPh>
    <rPh sb="16" eb="18">
      <t>ソウオン</t>
    </rPh>
    <phoneticPr fontId="21"/>
  </si>
  <si>
    <t>低騒音タイプの機器の採用など</t>
    <rPh sb="0" eb="3">
      <t>テイソウオン</t>
    </rPh>
    <rPh sb="7" eb="9">
      <t>キキ</t>
    </rPh>
    <rPh sb="10" eb="12">
      <t>サイヨウ</t>
    </rPh>
    <phoneticPr fontId="21"/>
  </si>
  <si>
    <t>位置、風量・風速の適正化など</t>
  </si>
  <si>
    <t>１～７地域</t>
    <rPh sb="3" eb="5">
      <t>チイキ</t>
    </rPh>
    <phoneticPr fontId="21"/>
  </si>
  <si>
    <t>1～7地域</t>
    <rPh sb="3" eb="5">
      <t>チイキ</t>
    </rPh>
    <phoneticPr fontId="21"/>
  </si>
  <si>
    <t>レベル</t>
    <phoneticPr fontId="21"/>
  </si>
  <si>
    <t>BPI</t>
    <phoneticPr fontId="21"/>
  </si>
  <si>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1"/>
  </si>
  <si>
    <t>比率</t>
    <rPh sb="0" eb="2">
      <t>ヒリツ</t>
    </rPh>
    <phoneticPr fontId="21"/>
  </si>
  <si>
    <t>（該当するレベルなし）</t>
    <rPh sb="1" eb="3">
      <t>ガイトウ</t>
    </rPh>
    <phoneticPr fontId="21"/>
  </si>
  <si>
    <t>レベル1: [BPI] ≧ 1.03</t>
  </si>
  <si>
    <t>レベル2: [BPI] ＝ 1.00</t>
  </si>
  <si>
    <t>レベル3: [BPI] ＝ 0.97</t>
  </si>
  <si>
    <t>レベル4: [BPI] ＝ 0.90</t>
  </si>
  <si>
    <t>レベル5: [BPI] ≦ 0.80</t>
  </si>
  <si>
    <t>レベル1: [BPI] ≧ 1.03</t>
    <phoneticPr fontId="21"/>
  </si>
  <si>
    <t>レベル4: [BPI] ＝ 0.93</t>
    <phoneticPr fontId="21"/>
  </si>
  <si>
    <t>レベル5: [BPI] ≦ 0.85</t>
    <phoneticPr fontId="21"/>
  </si>
  <si>
    <t>自然エネルギーの利用</t>
    <rPh sb="0" eb="2">
      <t>シゼン</t>
    </rPh>
    <rPh sb="8" eb="10">
      <t>リヨウ</t>
    </rPh>
    <rPh sb="9" eb="10">
      <t>チョクリ</t>
    </rPh>
    <phoneticPr fontId="21"/>
  </si>
  <si>
    <t>0MJ/㎡・年≦　[利用量]　＜1MJ/㎡・年　※利用なし、モニュメントの計画含む</t>
  </si>
  <si>
    <t>1MJ/㎡・年≦　[利用量]　＜15MJ/㎡･年</t>
  </si>
  <si>
    <t>15MJ/㎡・年≦　[利用量]</t>
  </si>
  <si>
    <t>自然エネルギーの直接利用量（採光や通風など）を評価する。太陽光発電やソーラーパネル等などの電気や熱に変換して利用するものについては、「3．設備システムの高効率化」で評価する。</t>
    <rPh sb="0" eb="2">
      <t>シゼン</t>
    </rPh>
    <rPh sb="8" eb="10">
      <t>チョクセツ</t>
    </rPh>
    <rPh sb="10" eb="12">
      <t>リヨウ</t>
    </rPh>
    <rPh sb="12" eb="13">
      <t>リョウ</t>
    </rPh>
    <rPh sb="14" eb="16">
      <t>サイコウ</t>
    </rPh>
    <rPh sb="17" eb="19">
      <t>ツウフウ</t>
    </rPh>
    <rPh sb="23" eb="25">
      <t>ヒョウカ</t>
    </rPh>
    <rPh sb="28" eb="30">
      <t>タイヨウ</t>
    </rPh>
    <rPh sb="30" eb="31">
      <t>ヒカリ</t>
    </rPh>
    <rPh sb="31" eb="33">
      <t>ハツデン</t>
    </rPh>
    <rPh sb="41" eb="42">
      <t>トウ</t>
    </rPh>
    <rPh sb="45" eb="47">
      <t>デンキ</t>
    </rPh>
    <rPh sb="48" eb="49">
      <t>ネツ</t>
    </rPh>
    <rPh sb="50" eb="52">
      <t>ヘンカン</t>
    </rPh>
    <rPh sb="54" eb="56">
      <t>リヨウ</t>
    </rPh>
    <rPh sb="69" eb="71">
      <t>セツビ</t>
    </rPh>
    <rPh sb="76" eb="79">
      <t>コウコウリツ</t>
    </rPh>
    <rPh sb="79" eb="80">
      <t>カ</t>
    </rPh>
    <rPh sb="82" eb="84">
      <t>ヒョウカ</t>
    </rPh>
    <phoneticPr fontId="21"/>
  </si>
  <si>
    <t>レベル1:   [BEI値]　≧　1.10</t>
  </si>
  <si>
    <t>レベル2:   [BEI値]　＝　1.05</t>
  </si>
  <si>
    <t>レベル3:   [BEI値]　＝　1.00</t>
  </si>
  <si>
    <t>レベル4:   [BEI値]　＝　0.90</t>
  </si>
  <si>
    <t>レベル5:   [BEI値]　≦　0.70</t>
  </si>
  <si>
    <t>加湿機能・除湿機能を有し、かつ45％～55％の範囲の湿度を実現することが可能な設備容量が確保されている。</t>
  </si>
  <si>
    <t>事・学・物・飲・会・病(待)・ホ・工・住</t>
    <rPh sb="12" eb="13">
      <t>マ</t>
    </rPh>
    <rPh sb="19" eb="20">
      <t>ジュウ</t>
    </rPh>
    <phoneticPr fontId="21"/>
  </si>
  <si>
    <t>事・学・物・飲・会・病・ホ・工</t>
    <rPh sb="0" eb="1">
      <t>コト</t>
    </rPh>
    <rPh sb="2" eb="3">
      <t>ガク</t>
    </rPh>
    <rPh sb="4" eb="5">
      <t>モノ</t>
    </rPh>
    <rPh sb="6" eb="7">
      <t>イン</t>
    </rPh>
    <rPh sb="8" eb="9">
      <t>カイ</t>
    </rPh>
    <rPh sb="10" eb="11">
      <t>ヤマイ</t>
    </rPh>
    <rPh sb="14" eb="15">
      <t>コウ</t>
    </rPh>
    <phoneticPr fontId="21"/>
  </si>
  <si>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</si>
  <si>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</si>
  <si>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1"/>
  </si>
  <si>
    <t>評価する取組み表の評価ポイントの合計値が13～19ポイント</t>
    <phoneticPr fontId="21"/>
  </si>
  <si>
    <t>評価する取組み表の評価ポイントの合計値が20ポイント以上</t>
    <phoneticPr fontId="21"/>
  </si>
  <si>
    <t>評価項目</t>
    <phoneticPr fontId="21"/>
  </si>
  <si>
    <t>評価ポイント</t>
    <phoneticPr fontId="21"/>
  </si>
  <si>
    <t>①近くの気象台データや地域気象観測データ(アメダスデータ)等の既存データを用いて風向風速卓越風などの風環境を把握している場合(1ポイント)</t>
    <phoneticPr fontId="21"/>
  </si>
  <si>
    <t>1～2</t>
    <phoneticPr fontId="21"/>
  </si>
  <si>
    <t>LR2 3.2</t>
  </si>
  <si>
    <t>発泡剤（断熱材等）</t>
  </si>
  <si>
    <t>冷媒</t>
  </si>
  <si>
    <t>LR3 2</t>
  </si>
  <si>
    <t>LR3 2.3</t>
  </si>
  <si>
    <t>LR3 3</t>
  </si>
  <si>
    <t>LR3 3.1</t>
  </si>
  <si>
    <t>振動</t>
    <rPh sb="0" eb="2">
      <t>ｼﾝﾄﾞｳ</t>
    </rPh>
    <phoneticPr fontId="34" type="noConversion"/>
  </si>
  <si>
    <t>換算係数</t>
    <rPh sb="0" eb="2">
      <t>カンサン</t>
    </rPh>
    <rPh sb="2" eb="4">
      <t>ケイスウ</t>
    </rPh>
    <phoneticPr fontId="23"/>
  </si>
  <si>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1"/>
  </si>
  <si>
    <t>　レベル　1</t>
    <phoneticPr fontId="21"/>
  </si>
  <si>
    <t>隣棟間隔指標Rwが
　・0.3以上0.4未満の場合(1ポイント)
　・0.4以上0.5未満の場合(2ポイント)
　・0.5以上の場合(3ポイント)</t>
    <phoneticPr fontId="21"/>
  </si>
  <si>
    <t>地表面対策面積率が
　・15％以上30％未満の場合(1ポイント)
　・30％以上45％未満の場合(2ポイント)
　・45％以上の場合(3ポイント)</t>
    <phoneticPr fontId="21"/>
  </si>
  <si>
    <t>屋根面対策面積率が
　・20％未満の場合(1ポイント)
　・20％以上40％未満の場合(2ポイント)
　・40％以上の場合(3ポイント)</t>
    <phoneticPr fontId="21"/>
  </si>
  <si>
    <t>外壁面対策面積率が
　・10％未満の場合(1ポイント)
　・10％以上20％未満の場合(2ポイント)
　・20％以上の場合(3ポイント)</t>
    <phoneticPr fontId="21"/>
  </si>
  <si>
    <t>「LR1エネルギー」のスコア(評価結果)が
　・3.0以上4.0未満(1ポイント)
　・4.0以上4.5未満(2ポイント)
　・4.5以上(3ポイント)</t>
    <phoneticPr fontId="21"/>
  </si>
  <si>
    <t>式修正</t>
    <rPh sb="0" eb="1">
      <t>シキ</t>
    </rPh>
    <rPh sb="1" eb="3">
      <t>シュウセイ</t>
    </rPh>
    <phoneticPr fontId="21"/>
  </si>
  <si>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</si>
  <si>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</si>
  <si>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</si>
  <si>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</si>
  <si>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</si>
  <si>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</si>
  <si>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</si>
  <si>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</si>
  <si>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</si>
  <si>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</si>
  <si>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</si>
  <si>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</si>
  <si>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</si>
  <si>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</si>
  <si>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</si>
  <si>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</si>
  <si>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</si>
  <si>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</si>
  <si>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</si>
  <si>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</si>
  <si>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</si>
  <si>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</si>
  <si>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</si>
  <si>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</si>
  <si>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</si>
  <si>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</si>
  <si>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</si>
  <si>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</si>
  <si>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</si>
  <si>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</si>
  <si>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</si>
  <si>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</si>
  <si>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</si>
  <si>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</si>
  <si>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1"/>
  </si>
  <si>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</si>
  <si>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</si>
  <si>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</si>
  <si>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</si>
  <si>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</si>
  <si>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</si>
  <si>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</si>
  <si>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</si>
  <si>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1"/>
  </si>
  <si>
    <t>事・学・物・飲・会・病・ホ・工</t>
    <rPh sb="14" eb="15">
      <t>コウ</t>
    </rPh>
    <phoneticPr fontId="21"/>
  </si>
  <si>
    <t>8）その他（記述）</t>
    <phoneticPr fontId="21"/>
  </si>
  <si>
    <t>敷地内温熱環境の向上</t>
    <phoneticPr fontId="21"/>
  </si>
  <si>
    <t>I 敷地内の歩行者空間等へ風を導き、暑熱環境を緩和する</t>
    <phoneticPr fontId="21"/>
  </si>
  <si>
    <t>1)敷地周辺の風の状況を把握し、敷地内の歩行者空間等へ風を導く建築物の配置・形状計画とする</t>
    <phoneticPr fontId="21"/>
  </si>
  <si>
    <t>2)芝生・草地・低木等の緑地や通路等の空地を設けることにより、風の通り道を確保する。</t>
    <phoneticPr fontId="21"/>
  </si>
  <si>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1"/>
  </si>
  <si>
    <t>注2：</t>
    <rPh sb="0" eb="1">
      <t>チュウ</t>
    </rPh>
    <phoneticPr fontId="21"/>
  </si>
  <si>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1"/>
  </si>
  <si>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1"/>
  </si>
  <si>
    <t>注3：</t>
    <rPh sb="0" eb="1">
      <t>チュウ</t>
    </rPh>
    <phoneticPr fontId="21"/>
  </si>
  <si>
    <t>色欄について、プルダウンメニューから選択、または数値・コメントを記入のこと</t>
    <rPh sb="0" eb="1">
      <t>イロ</t>
    </rPh>
    <rPh sb="1" eb="2">
      <t>ラン</t>
    </rPh>
    <rPh sb="18" eb="20">
      <t>センタク</t>
    </rPh>
    <rPh sb="24" eb="26">
      <t>スウチ</t>
    </rPh>
    <rPh sb="32" eb="34">
      <t>キニュウ</t>
    </rPh>
    <phoneticPr fontId="21"/>
  </si>
  <si>
    <t>欄に数値またはコメントを記入</t>
    <rPh sb="0" eb="1">
      <t>ラン</t>
    </rPh>
    <rPh sb="2" eb="4">
      <t>スウチ</t>
    </rPh>
    <rPh sb="12" eb="14">
      <t>キニュウ</t>
    </rPh>
    <phoneticPr fontId="21"/>
  </si>
  <si>
    <t>■評価ソフト：</t>
    <rPh sb="1" eb="3">
      <t>ヒョウカ</t>
    </rPh>
    <phoneticPr fontId="21"/>
  </si>
  <si>
    <t>スコアシート</t>
    <phoneticPr fontId="34" type="noConversion"/>
  </si>
  <si>
    <t>解説シートの
採点結果</t>
    <rPh sb="0" eb="2">
      <t>カイセツ</t>
    </rPh>
    <rPh sb="7" eb="9">
      <t>サイテン</t>
    </rPh>
    <rPh sb="9" eb="11">
      <t>ケッカ</t>
    </rPh>
    <phoneticPr fontId="21"/>
  </si>
  <si>
    <t>建物全体・共用部分</t>
    <rPh sb="0" eb="2">
      <t>タテモノ</t>
    </rPh>
    <rPh sb="2" eb="4">
      <t>ゼンタイ</t>
    </rPh>
    <rPh sb="5" eb="7">
      <t>キョウヨウ</t>
    </rPh>
    <rPh sb="7" eb="9">
      <t>ブブン</t>
    </rPh>
    <phoneticPr fontId="21"/>
  </si>
  <si>
    <t>住居・宿泊部分</t>
    <rPh sb="0" eb="2">
      <t>ジュウキョ</t>
    </rPh>
    <rPh sb="3" eb="5">
      <t>シュクハク</t>
    </rPh>
    <rPh sb="5" eb="7">
      <t>ブブン</t>
    </rPh>
    <phoneticPr fontId="21"/>
  </si>
  <si>
    <t>建物全体</t>
    <rPh sb="0" eb="2">
      <t>タテモノ</t>
    </rPh>
    <rPh sb="2" eb="4">
      <t>ゼンタイ</t>
    </rPh>
    <phoneticPr fontId="21"/>
  </si>
  <si>
    <t>住居宿泊</t>
    <rPh sb="0" eb="2">
      <t>ジュウキョ</t>
    </rPh>
    <rPh sb="2" eb="4">
      <t>シュクハク</t>
    </rPh>
    <phoneticPr fontId="21"/>
  </si>
  <si>
    <r>
      <t>Q3</t>
    </r>
    <r>
      <rPr>
        <b/>
        <sz val="14"/>
        <rFont val="ＭＳ Ｐゴシック"/>
        <family val="3"/>
        <charset val="128"/>
      </rPr>
      <t>　室外環境（敷地内）</t>
    </r>
    <phoneticPr fontId="21"/>
  </si>
  <si>
    <t>○</t>
    <phoneticPr fontId="21"/>
  </si>
  <si>
    <t>ON</t>
    <phoneticPr fontId="21"/>
  </si>
  <si>
    <t>はい</t>
    <phoneticPr fontId="21"/>
  </si>
  <si>
    <t>いいえ</t>
    <phoneticPr fontId="21"/>
  </si>
  <si>
    <t>生物環境の保全と創出に関して配慮されているが、取り組みが十分とはいえない。(評価ポイント4～6)</t>
    <phoneticPr fontId="21"/>
  </si>
  <si>
    <t>生物環境の保全と創出に関して配慮されており、標準的な取り組みが行われている。(評価ポイント7～9)</t>
    <phoneticPr fontId="21"/>
  </si>
  <si>
    <t>　レベル　1</t>
    <phoneticPr fontId="21"/>
  </si>
  <si>
    <t>■レベル　1</t>
    <phoneticPr fontId="21"/>
  </si>
  <si>
    <t>生物環境の保全と創出に関して配慮されており、比較的多くの取り組みが行われている。(評価ポイント10～12)</t>
    <phoneticPr fontId="21"/>
  </si>
  <si>
    <t>生物環境の保全と創出に関して十分配慮されており、充実した取り組みが行われている。(評価ポイント13以上）</t>
    <phoneticPr fontId="21"/>
  </si>
  <si>
    <t>I 立地特性の把握と計画方針の設定</t>
    <phoneticPr fontId="21"/>
  </si>
  <si>
    <t>レベル</t>
    <phoneticPr fontId="21"/>
  </si>
  <si>
    <t>II 生物資源の保存と復元</t>
    <phoneticPr fontId="21"/>
  </si>
  <si>
    <t>建築物衛生法における特定建築物に該当しない建築物</t>
    <phoneticPr fontId="21"/>
  </si>
  <si>
    <t>―</t>
    <phoneticPr fontId="21"/>
  </si>
  <si>
    <t>①　清掃用資材を保管するスペースを計画している。</t>
    <phoneticPr fontId="21"/>
  </si>
  <si>
    <t>③　清掃用具室に洗い場を設置し、安全な排水設備への排水経路を確保している。</t>
    <phoneticPr fontId="21"/>
  </si>
  <si>
    <t>④　衛生面からモップ、ウェスを洗濯・乾燥させるスペースを計画している。</t>
    <phoneticPr fontId="21"/>
  </si>
  <si>
    <t>③　水を使用し清掃する箇所（トイレ、ゴミ庫、厨房）には２／１００程度の適度な勾配を計画している。</t>
    <phoneticPr fontId="21"/>
  </si>
  <si>
    <t>⑥　トイレ毎ないしはフロア毎に清掃用流しを設置している。</t>
    <phoneticPr fontId="21"/>
  </si>
  <si>
    <t>⑧　外部ガラスや外壁、給排気口、照明など高所の維持管理作業を安全に行える設計をしている。</t>
    <phoneticPr fontId="21"/>
  </si>
  <si>
    <t>同左</t>
  </si>
  <si>
    <t>国内消費支出分</t>
    <rPh sb="0" eb="2">
      <t>コクナイ</t>
    </rPh>
    <rPh sb="2" eb="4">
      <t>ショウヒ</t>
    </rPh>
    <rPh sb="4" eb="6">
      <t>シシュツ</t>
    </rPh>
    <rPh sb="6" eb="7">
      <t>ブン</t>
    </rPh>
    <phoneticPr fontId="21"/>
  </si>
  <si>
    <t>躯体・基礎の寿命（年）</t>
    <rPh sb="0" eb="2">
      <t>クタイ</t>
    </rPh>
    <rPh sb="3" eb="5">
      <t>キソ</t>
    </rPh>
    <rPh sb="6" eb="8">
      <t>ジュミョウ</t>
    </rPh>
    <rPh sb="9" eb="10">
      <t>ネン</t>
    </rPh>
    <phoneticPr fontId="21"/>
  </si>
  <si>
    <t>Q2/2.2.1 躯体材料</t>
    <rPh sb="9" eb="11">
      <t>クタイ</t>
    </rPh>
    <rPh sb="11" eb="13">
      <t>ザイリョウ</t>
    </rPh>
    <phoneticPr fontId="21"/>
  </si>
  <si>
    <t>再利用なし</t>
    <rPh sb="0" eb="3">
      <t>サイリヨウ</t>
    </rPh>
    <phoneticPr fontId="21"/>
  </si>
  <si>
    <t>既存躯体100％</t>
    <rPh sb="0" eb="2">
      <t>キソン</t>
    </rPh>
    <rPh sb="2" eb="4">
      <t>クタイ</t>
    </rPh>
    <phoneticPr fontId="21"/>
  </si>
  <si>
    <t>高炉ｾﾒﾝﾄ100%</t>
    <rPh sb="0" eb="2">
      <t>コウロ</t>
    </rPh>
    <phoneticPr fontId="21"/>
  </si>
  <si>
    <t>更新周期(年）</t>
    <rPh sb="0" eb="2">
      <t>コウシン</t>
    </rPh>
    <rPh sb="2" eb="4">
      <t>シュウキ</t>
    </rPh>
    <rPh sb="5" eb="6">
      <t>ネン</t>
    </rPh>
    <phoneticPr fontId="21"/>
  </si>
  <si>
    <t>外装</t>
    <rPh sb="0" eb="2">
      <t>ガイソウ</t>
    </rPh>
    <phoneticPr fontId="21"/>
  </si>
  <si>
    <t>年</t>
    <rPh sb="0" eb="1">
      <t>ネン</t>
    </rPh>
    <phoneticPr fontId="21"/>
  </si>
  <si>
    <t>屋根</t>
    <rPh sb="0" eb="2">
      <t>ヤネ</t>
    </rPh>
    <phoneticPr fontId="21"/>
  </si>
  <si>
    <t>内装</t>
    <rPh sb="0" eb="2">
      <t>ナイソウ</t>
    </rPh>
    <phoneticPr fontId="21"/>
  </si>
  <si>
    <t>設備</t>
    <rPh sb="0" eb="2">
      <t>セツビ</t>
    </rPh>
    <phoneticPr fontId="21"/>
  </si>
  <si>
    <t>平均修繕率</t>
    <rPh sb="0" eb="2">
      <t>ヘイキン</t>
    </rPh>
    <rPh sb="2" eb="4">
      <t>シュウゼン</t>
    </rPh>
    <rPh sb="4" eb="5">
      <t>リツ</t>
    </rPh>
    <phoneticPr fontId="21"/>
  </si>
  <si>
    <t>/年</t>
    <rPh sb="1" eb="2">
      <t>ネン</t>
    </rPh>
    <phoneticPr fontId="21"/>
  </si>
  <si>
    <t>参照値（参照建物）</t>
    <rPh sb="0" eb="2">
      <t>サンショウ</t>
    </rPh>
    <rPh sb="2" eb="3">
      <t>チ</t>
    </rPh>
    <rPh sb="4" eb="6">
      <t>サンショウ</t>
    </rPh>
    <rPh sb="6" eb="8">
      <t>タテモノ</t>
    </rPh>
    <phoneticPr fontId="21"/>
  </si>
  <si>
    <t>建物
概要</t>
    <rPh sb="0" eb="2">
      <t>タテモノ</t>
    </rPh>
    <rPh sb="3" eb="5">
      <t>ガイヨウ</t>
    </rPh>
    <phoneticPr fontId="21"/>
  </si>
  <si>
    <t>建物規模</t>
    <rPh sb="0" eb="2">
      <t>タテモノ</t>
    </rPh>
    <rPh sb="2" eb="4">
      <t>キボ</t>
    </rPh>
    <phoneticPr fontId="21"/>
  </si>
  <si>
    <t>構造種別</t>
    <rPh sb="0" eb="2">
      <t>コウゾウ</t>
    </rPh>
    <rPh sb="2" eb="4">
      <t>シュベツ</t>
    </rPh>
    <phoneticPr fontId="21"/>
  </si>
  <si>
    <t>ライフサイクル設定</t>
    <rPh sb="7" eb="9">
      <t>セッテイ</t>
    </rPh>
    <phoneticPr fontId="21"/>
  </si>
  <si>
    <t>想定耐用年数</t>
    <rPh sb="0" eb="2">
      <t>ソウテイ</t>
    </rPh>
    <rPh sb="2" eb="4">
      <t>タイヨウ</t>
    </rPh>
    <rPh sb="4" eb="6">
      <t>ネンスウ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</si>
  <si>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</si>
  <si>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地球温暖化への配慮</t>
    <rPh sb="0" eb="2">
      <t>チキュウ</t>
    </rPh>
    <rPh sb="2" eb="5">
      <t>オンダンカ</t>
    </rPh>
    <rPh sb="7" eb="9">
      <t>ハイリョ</t>
    </rPh>
    <phoneticPr fontId="21"/>
  </si>
  <si>
    <t>自然ｴﾈﾙｷﾞｰ</t>
    <rPh sb="0" eb="2">
      <t>シゼン</t>
    </rPh>
    <phoneticPr fontId="21"/>
  </si>
  <si>
    <t>非再生性材料の削減</t>
    <rPh sb="0" eb="1">
      <t>ヒ</t>
    </rPh>
    <rPh sb="1" eb="3">
      <t>サイセイ</t>
    </rPh>
    <rPh sb="3" eb="4">
      <t>セイ</t>
    </rPh>
    <rPh sb="4" eb="6">
      <t>ザイリョウ</t>
    </rPh>
    <rPh sb="7" eb="9">
      <t>サクゲン</t>
    </rPh>
    <phoneticPr fontId="21"/>
  </si>
  <si>
    <t>地域環境への配慮</t>
    <rPh sb="0" eb="2">
      <t>チイキ</t>
    </rPh>
    <rPh sb="2" eb="4">
      <t>カンキョウ</t>
    </rPh>
    <rPh sb="6" eb="8">
      <t>ハイリョ</t>
    </rPh>
    <phoneticPr fontId="21"/>
  </si>
  <si>
    <t>設備の効率的利用</t>
    <rPh sb="0" eb="2">
      <t>セツビ</t>
    </rPh>
    <rPh sb="3" eb="5">
      <t>コウリツ</t>
    </rPh>
    <rPh sb="5" eb="6">
      <t>テキ</t>
    </rPh>
    <rPh sb="6" eb="8">
      <t>リヨウ</t>
    </rPh>
    <phoneticPr fontId="21"/>
  </si>
  <si>
    <t>汚染物質回避</t>
    <rPh sb="0" eb="2">
      <t>オセン</t>
    </rPh>
    <rPh sb="2" eb="4">
      <t>ブッシツ</t>
    </rPh>
    <rPh sb="4" eb="6">
      <t>カイヒ</t>
    </rPh>
    <phoneticPr fontId="21"/>
  </si>
  <si>
    <t>周辺環境への配慮</t>
    <rPh sb="0" eb="2">
      <t>シュウヘン</t>
    </rPh>
    <rPh sb="2" eb="4">
      <t>カンキョウ</t>
    </rPh>
    <rPh sb="6" eb="8">
      <t>ハイリョ</t>
    </rPh>
    <phoneticPr fontId="21"/>
  </si>
  <si>
    <t>運用ﾏﾈｼﾞﾒﾝﾄ</t>
    <rPh sb="0" eb="2">
      <t>ウンヨウ</t>
    </rPh>
    <phoneticPr fontId="21"/>
  </si>
  <si>
    <r>
      <t>3</t>
    </r>
    <r>
      <rPr>
        <b/>
        <sz val="12"/>
        <color indexed="9"/>
        <rFont val="ＭＳ Ｐゴシック"/>
        <family val="3"/>
        <charset val="128"/>
      </rPr>
      <t>　設計上の配慮事項</t>
    </r>
    <rPh sb="2" eb="4">
      <t>セッケイ</t>
    </rPh>
    <rPh sb="4" eb="5">
      <t>ジョウ</t>
    </rPh>
    <rPh sb="6" eb="8">
      <t>ハイリョ</t>
    </rPh>
    <rPh sb="8" eb="10">
      <t>ジコウ</t>
    </rPh>
    <phoneticPr fontId="21"/>
  </si>
  <si>
    <t>総合</t>
    <rPh sb="0" eb="2">
      <t>ｿｳｺﾞｳ</t>
    </rPh>
    <phoneticPr fontId="34" type="noConversion"/>
  </si>
  <si>
    <t>その他</t>
    <rPh sb="2" eb="3">
      <t>ﾀ</t>
    </rPh>
    <phoneticPr fontId="34"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</si>
  <si>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4" type="noConversion"/>
  </si>
  <si>
    <t>注3</t>
    <rPh sb="0" eb="1">
      <t>チュウ</t>
    </rPh>
    <phoneticPr fontId="21"/>
  </si>
  <si>
    <t>心理性・快適性</t>
    <rPh sb="0" eb="1">
      <t>ｺｺﾛ</t>
    </rPh>
    <rPh sb="1" eb="3">
      <t>ﾘｾｲ</t>
    </rPh>
    <rPh sb="4" eb="7">
      <t>ｶｲﾃｷｾｲ</t>
    </rPh>
    <phoneticPr fontId="34" type="noConversion"/>
  </si>
  <si>
    <t>■レベル　1</t>
    <phoneticPr fontId="21"/>
  </si>
  <si>
    <t>個室8㎡/床で、かつ多床室6㎡/床以上。</t>
    <phoneticPr fontId="21"/>
  </si>
  <si>
    <t>シングル15㎡以上、かつツイン22㎡以上。</t>
    <phoneticPr fontId="21"/>
  </si>
  <si>
    <t>シングル22㎡以上、かつツイン32㎡以上。</t>
    <phoneticPr fontId="21"/>
  </si>
  <si>
    <t>個室10㎡/床で、かつ多床室8㎡/床以上。</t>
    <phoneticPr fontId="21"/>
  </si>
  <si>
    <t>シングル30㎡以上、かつツイン40㎡以上。</t>
    <phoneticPr fontId="21"/>
  </si>
  <si>
    <t>レベル</t>
    <phoneticPr fontId="21"/>
  </si>
  <si>
    <t>建物全体・共用部分</t>
    <phoneticPr fontId="21"/>
  </si>
  <si>
    <t>ホ・住</t>
    <phoneticPr fontId="21"/>
  </si>
  <si>
    <t>病・ホ</t>
    <rPh sb="0" eb="1">
      <t>ビョウ</t>
    </rPh>
    <phoneticPr fontId="21"/>
  </si>
  <si>
    <t>会話等の話の内容がわかる。</t>
    <rPh sb="0" eb="2">
      <t>カイワ</t>
    </rPh>
    <rPh sb="2" eb="3">
      <t>トウ</t>
    </rPh>
    <rPh sb="4" eb="5">
      <t>ハナシ</t>
    </rPh>
    <rPh sb="6" eb="8">
      <t>ナイヨウ</t>
    </rPh>
    <phoneticPr fontId="21"/>
  </si>
  <si>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</si>
  <si>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</si>
  <si>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</si>
  <si>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</si>
  <si>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</si>
  <si>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</si>
  <si>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</si>
  <si>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</si>
  <si>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</si>
  <si>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1"/>
  </si>
  <si>
    <t>病・ホ</t>
    <rPh sb="0" eb="1">
      <t>ヤマイ</t>
    </rPh>
    <phoneticPr fontId="21"/>
  </si>
  <si>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</si>
  <si>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</si>
  <si>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</si>
  <si>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</si>
  <si>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窓システム、外壁、屋根や床（特にピロティ）において熱の侵入に対して配慮が無く、断熱性能が低い。（窓システムSC：0.7程度、U=6.0(W/m2K)程度、外壁その他：U=3.0(W/m2K)程度）</t>
  </si>
  <si>
    <t>←　直接入力</t>
    <rPh sb="2" eb="4">
      <t>チョクセツ</t>
    </rPh>
    <rPh sb="4" eb="6">
      <t>ニュウリョク</t>
    </rPh>
    <phoneticPr fontId="21"/>
  </si>
  <si>
    <t>延床面積</t>
    <rPh sb="0" eb="4">
      <t>ノベユカメンセキ</t>
    </rPh>
    <phoneticPr fontId="21"/>
  </si>
  <si>
    <t>　</t>
  </si>
  <si>
    <t>吹出し口、吸込み口からの騒音</t>
    <rPh sb="12" eb="14">
      <t>ソウオン</t>
    </rPh>
    <phoneticPr fontId="21"/>
  </si>
  <si>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</si>
  <si>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</si>
  <si>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1"/>
  </si>
  <si>
    <t>教室の天井高3.0m以上。</t>
  </si>
  <si>
    <t>教室の天井高3.1m以上。</t>
  </si>
  <si>
    <t>教室の天井高3.2m以上。</t>
  </si>
  <si>
    <t>物</t>
    <rPh sb="0" eb="1">
      <t>モノ</t>
    </rPh>
    <phoneticPr fontId="21"/>
  </si>
  <si>
    <r>
      <t xml:space="preserve">1.2.3 </t>
    </r>
    <r>
      <rPr>
        <b/>
        <sz val="10"/>
        <rFont val="ＭＳ Ｐゴシック"/>
        <family val="3"/>
        <charset val="128"/>
      </rPr>
      <t>内装計画</t>
    </r>
    <rPh sb="6" eb="8">
      <t>ナイソウ</t>
    </rPh>
    <rPh sb="8" eb="10">
      <t>ケイカク</t>
    </rPh>
    <phoneticPr fontId="21"/>
  </si>
  <si>
    <t>評価する取組み</t>
    <rPh sb="0" eb="2">
      <t>ヒョウカ</t>
    </rPh>
    <rPh sb="4" eb="6">
      <t>トリク</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</si>
  <si>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</si>
  <si>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1"/>
  </si>
  <si>
    <t>その他の燃料
（　　　）</t>
    <rPh sb="2" eb="3">
      <t>タ</t>
    </rPh>
    <rPh sb="4" eb="6">
      <t>ネンリョウ</t>
    </rPh>
    <phoneticPr fontId="21"/>
  </si>
  <si>
    <t>上水使用</t>
    <rPh sb="0" eb="1">
      <t>ウエ</t>
    </rPh>
    <rPh sb="1" eb="2">
      <t>ミズ</t>
    </rPh>
    <rPh sb="2" eb="4">
      <t>シヨウ</t>
    </rPh>
    <phoneticPr fontId="21"/>
  </si>
  <si>
    <t>kg/㎡</t>
  </si>
  <si>
    <t xml:space="preserve"> 百貨店、マーケット など</t>
    <rPh sb="1" eb="4">
      <t>ヒャッカテン</t>
    </rPh>
    <phoneticPr fontId="21"/>
  </si>
  <si>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1"/>
  </si>
  <si>
    <t>LR1の取り組みによる省エネルギー量を推定</t>
    <rPh sb="4" eb="5">
      <t>ト</t>
    </rPh>
    <rPh sb="6" eb="7">
      <t>ク</t>
    </rPh>
    <rPh sb="11" eb="12">
      <t>ショウ</t>
    </rPh>
    <rPh sb="17" eb="18">
      <t>リョウ</t>
    </rPh>
    <rPh sb="19" eb="21">
      <t>スイテイ</t>
    </rPh>
    <phoneticPr fontId="21"/>
  </si>
  <si>
    <t>電力</t>
    <rPh sb="0" eb="2">
      <t>デンリョク</t>
    </rPh>
    <phoneticPr fontId="21"/>
  </si>
  <si>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</si>
  <si>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</si>
  <si>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</si>
  <si>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</si>
  <si>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</si>
  <si>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1"/>
  </si>
  <si>
    <t>または
居住者や入居者が植栽管理・清掃活動、運用計画の立案を直接行うなど、建物の維持管理に対して居住者が参加している。</t>
    <phoneticPr fontId="21"/>
  </si>
  <si>
    <t>Ⅵ その他</t>
    <phoneticPr fontId="21"/>
  </si>
  <si>
    <t>■　環境設計の配慮事項</t>
    <rPh sb="2" eb="4">
      <t>カンキョウ</t>
    </rPh>
    <rPh sb="4" eb="6">
      <t>セッケイ</t>
    </rPh>
    <rPh sb="7" eb="9">
      <t>ハイリョ</t>
    </rPh>
    <rPh sb="9" eb="11">
      <t>ジコウ</t>
    </rPh>
    <phoneticPr fontId="21"/>
  </si>
  <si>
    <t>■建物名称</t>
    <rPh sb="1" eb="3">
      <t>タテモノ</t>
    </rPh>
    <rPh sb="3" eb="5">
      <t>メイショウ</t>
    </rPh>
    <phoneticPr fontId="21"/>
  </si>
  <si>
    <t>計画上の配慮事項</t>
    <rPh sb="0" eb="2">
      <t>ケイカク</t>
    </rPh>
    <rPh sb="2" eb="3">
      <t>ジョウ</t>
    </rPh>
    <rPh sb="4" eb="6">
      <t>ハイリョ</t>
    </rPh>
    <rPh sb="6" eb="8">
      <t>ジコウ</t>
    </rPh>
    <phoneticPr fontId="21"/>
  </si>
  <si>
    <t>総合</t>
    <rPh sb="0" eb="2">
      <t>ソウゴウ</t>
    </rPh>
    <phoneticPr fontId="21"/>
  </si>
  <si>
    <t>注）　設計における総合的なコンセプトを簡潔に記載してください。
　</t>
    <rPh sb="3" eb="5">
      <t>セッケイ</t>
    </rPh>
    <phoneticPr fontId="21"/>
  </si>
  <si>
    <t>Q1 
室内環境</t>
    <rPh sb="4" eb="6">
      <t>シツナイ</t>
    </rPh>
    <rPh sb="6" eb="8">
      <t>カンキョウ</t>
    </rPh>
    <phoneticPr fontId="21"/>
  </si>
  <si>
    <t>注）　「Q1　室内環境」に対する配慮事項を簡潔に記載してください。</t>
    <rPh sb="16" eb="18">
      <t>ハイリョ</t>
    </rPh>
    <rPh sb="18" eb="20">
      <t>ジコウ</t>
    </rPh>
    <phoneticPr fontId="21"/>
  </si>
  <si>
    <t>Q2 
サービス性能</t>
    <rPh sb="8" eb="10">
      <t>セイノウ</t>
    </rPh>
    <phoneticPr fontId="21"/>
  </si>
  <si>
    <t>Q3 
室外環境（敷地内）</t>
    <rPh sb="4" eb="6">
      <t>シツガイ</t>
    </rPh>
    <rPh sb="6" eb="8">
      <t>カンキョウ</t>
    </rPh>
    <rPh sb="9" eb="11">
      <t>シキチ</t>
    </rPh>
    <rPh sb="11" eb="12">
      <t>ナイ</t>
    </rPh>
    <phoneticPr fontId="21"/>
  </si>
  <si>
    <t>LR2 
資源・マテリアル</t>
    <rPh sb="5" eb="7">
      <t>シゲン</t>
    </rPh>
    <phoneticPr fontId="21"/>
  </si>
  <si>
    <t>その他</t>
    <rPh sb="2" eb="3">
      <t>ホカ</t>
    </rPh>
    <phoneticPr fontId="21"/>
  </si>
  <si>
    <t>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8" eb="20">
      <t>ケンセツ</t>
    </rPh>
    <rPh sb="45" eb="47">
      <t>ホゾン</t>
    </rPh>
    <phoneticPr fontId="21"/>
  </si>
  <si>
    <t>照度均斉度</t>
    <phoneticPr fontId="21"/>
  </si>
  <si>
    <t>4.1.1</t>
    <phoneticPr fontId="21"/>
  </si>
  <si>
    <t>4.1.2</t>
    <phoneticPr fontId="21"/>
  </si>
  <si>
    <t xml:space="preserve"> アスベスト対策</t>
    <phoneticPr fontId="21"/>
  </si>
  <si>
    <t>4.1.3</t>
    <phoneticPr fontId="21"/>
  </si>
  <si>
    <t>4.1.4</t>
    <phoneticPr fontId="21"/>
  </si>
  <si>
    <t>4.2.1</t>
    <phoneticPr fontId="21"/>
  </si>
  <si>
    <t>4.2.2</t>
    <phoneticPr fontId="21"/>
  </si>
  <si>
    <t>4.2.3</t>
    <phoneticPr fontId="21"/>
  </si>
  <si>
    <t>4.2.4</t>
    <phoneticPr fontId="21"/>
  </si>
  <si>
    <t>給気計画</t>
    <phoneticPr fontId="21"/>
  </si>
  <si>
    <t>4.3.1</t>
    <phoneticPr fontId="21"/>
  </si>
  <si>
    <t>CO2の監視</t>
    <phoneticPr fontId="21"/>
  </si>
  <si>
    <t>4.3.2</t>
    <phoneticPr fontId="21"/>
  </si>
  <si>
    <t>喫煙の制御</t>
    <phoneticPr fontId="21"/>
  </si>
  <si>
    <t>Q2</t>
    <phoneticPr fontId="21"/>
  </si>
  <si>
    <t>サービス性能</t>
    <phoneticPr fontId="21"/>
  </si>
  <si>
    <t>1.1.1</t>
    <phoneticPr fontId="21"/>
  </si>
  <si>
    <t>1.1.2</t>
    <phoneticPr fontId="21"/>
  </si>
  <si>
    <t>高度情報通信設備対応</t>
    <phoneticPr fontId="21"/>
  </si>
  <si>
    <t>1.1.3</t>
    <phoneticPr fontId="21"/>
  </si>
  <si>
    <t>1.2.1</t>
    <phoneticPr fontId="21"/>
  </si>
  <si>
    <t>1.2.2</t>
    <phoneticPr fontId="21"/>
  </si>
  <si>
    <t>1.2.3</t>
    <phoneticPr fontId="21"/>
  </si>
  <si>
    <t xml:space="preserve"> Q2 1.3</t>
    <phoneticPr fontId="21"/>
  </si>
  <si>
    <t>0</t>
    <phoneticPr fontId="21"/>
  </si>
  <si>
    <t>2.1.1</t>
    <phoneticPr fontId="21"/>
  </si>
  <si>
    <t>2.1.2</t>
    <phoneticPr fontId="21"/>
  </si>
  <si>
    <t>2.1.2</t>
    <phoneticPr fontId="21"/>
  </si>
  <si>
    <t>2.2.1</t>
    <phoneticPr fontId="21"/>
  </si>
  <si>
    <t>2.2.1</t>
    <phoneticPr fontId="21"/>
  </si>
  <si>
    <t>2.2.2</t>
    <phoneticPr fontId="21"/>
  </si>
  <si>
    <t>2.2.3</t>
    <phoneticPr fontId="21"/>
  </si>
  <si>
    <t>2.2.4</t>
    <phoneticPr fontId="21"/>
  </si>
  <si>
    <t>2.2.4</t>
    <phoneticPr fontId="21"/>
  </si>
  <si>
    <t>2.2.5</t>
    <phoneticPr fontId="21"/>
  </si>
  <si>
    <t>2.2.5</t>
    <phoneticPr fontId="21"/>
  </si>
  <si>
    <t>2.2.6</t>
    <phoneticPr fontId="21"/>
  </si>
  <si>
    <t xml:space="preserve"> Q2 2</t>
    <phoneticPr fontId="21"/>
  </si>
  <si>
    <t>2.3.1</t>
    <phoneticPr fontId="21"/>
  </si>
  <si>
    <t xml:space="preserve"> Q2 2.3</t>
    <phoneticPr fontId="21"/>
  </si>
  <si>
    <t>2.3.1</t>
    <phoneticPr fontId="21"/>
  </si>
  <si>
    <t>2.3.2</t>
    <phoneticPr fontId="21"/>
  </si>
  <si>
    <t xml:space="preserve"> Q2 2.3</t>
    <phoneticPr fontId="21"/>
  </si>
  <si>
    <t>一次ｴﾈﾙｷﾞｰあたり　非住宅</t>
    <rPh sb="0" eb="2">
      <t>イチジ</t>
    </rPh>
    <rPh sb="12" eb="13">
      <t>ヒ</t>
    </rPh>
    <rPh sb="13" eb="15">
      <t>ジュウタク</t>
    </rPh>
    <phoneticPr fontId="21"/>
  </si>
  <si>
    <t>同上　　住宅（専有部）</t>
    <rPh sb="0" eb="2">
      <t>ドウジョウ</t>
    </rPh>
    <rPh sb="4" eb="6">
      <t>ジュウタク</t>
    </rPh>
    <rPh sb="7" eb="9">
      <t>センユウ</t>
    </rPh>
    <rPh sb="9" eb="10">
      <t>ブ</t>
    </rPh>
    <phoneticPr fontId="21"/>
  </si>
  <si>
    <t>木部の防腐剤</t>
    <rPh sb="0" eb="2">
      <t>モクブ</t>
    </rPh>
    <rPh sb="3" eb="6">
      <t>ボウフザイ</t>
    </rPh>
    <phoneticPr fontId="21"/>
  </si>
  <si>
    <r>
      <t xml:space="preserve">3.2.1 </t>
    </r>
    <r>
      <rPr>
        <b/>
        <sz val="10"/>
        <rFont val="ＭＳ Ｐゴシック"/>
        <family val="3"/>
        <charset val="128"/>
      </rPr>
      <t>消火剤</t>
    </r>
    <rPh sb="6" eb="8">
      <t>ショウカ</t>
    </rPh>
    <rPh sb="8" eb="9">
      <t>ザイ</t>
    </rPh>
    <phoneticPr fontId="21"/>
  </si>
  <si>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1"/>
  </si>
  <si>
    <t>ODP及びGWPが高いハロン消火剤を使用している（クリティカルユース含む）。</t>
    <rPh sb="3" eb="4">
      <t>オヨ</t>
    </rPh>
    <rPh sb="9" eb="10">
      <t>タカ</t>
    </rPh>
    <rPh sb="14" eb="17">
      <t>ショウカザイ</t>
    </rPh>
    <rPh sb="18" eb="20">
      <t>シヨウ</t>
    </rPh>
    <rPh sb="34" eb="35">
      <t>フク</t>
    </rPh>
    <phoneticPr fontId="21"/>
  </si>
  <si>
    <t>ODP＝0.2以上の発泡剤を用いた断熱材等を使用している。</t>
    <rPh sb="10" eb="12">
      <t>ハッポウ</t>
    </rPh>
    <rPh sb="12" eb="13">
      <t>ザイ</t>
    </rPh>
    <rPh sb="14" eb="15">
      <t>モチ</t>
    </rPh>
    <rPh sb="17" eb="20">
      <t>ダンネツザイ</t>
    </rPh>
    <rPh sb="20" eb="21">
      <t>トウ</t>
    </rPh>
    <rPh sb="22" eb="24">
      <t>シヨウ</t>
    </rPh>
    <phoneticPr fontId="21"/>
  </si>
  <si>
    <t>ハロゲン化物消火剤を使用している。</t>
    <rPh sb="4" eb="5">
      <t>カ</t>
    </rPh>
    <rPh sb="5" eb="6">
      <t>ブツ</t>
    </rPh>
    <rPh sb="6" eb="9">
      <t>ショウカザイ</t>
    </rPh>
    <rPh sb="10" eb="12">
      <t>シヨウ</t>
    </rPh>
    <phoneticPr fontId="21"/>
  </si>
  <si>
    <t>ODP＝0.2未満の発泡剤を用いた断熱材等を使用している。</t>
    <rPh sb="10" eb="12">
      <t>ハッポウ</t>
    </rPh>
    <rPh sb="12" eb="13">
      <t>ザイ</t>
    </rPh>
    <rPh sb="14" eb="15">
      <t>モチ</t>
    </rPh>
    <rPh sb="17" eb="21">
      <t>ダンネツザイナド</t>
    </rPh>
    <rPh sb="22" eb="24">
      <t>シヨウ</t>
    </rPh>
    <phoneticPr fontId="21"/>
  </si>
  <si>
    <t>ODP＝0.01未満の発泡剤を用いた断熱材等を使用している。</t>
    <rPh sb="11" eb="13">
      <t>ハッポウ</t>
    </rPh>
    <rPh sb="13" eb="14">
      <t>ザイ</t>
    </rPh>
    <rPh sb="15" eb="16">
      <t>モチ</t>
    </rPh>
    <rPh sb="18" eb="22">
      <t>ダンネツザイナド</t>
    </rPh>
    <rPh sb="23" eb="25">
      <t>シヨウ</t>
    </rPh>
    <phoneticPr fontId="21"/>
  </si>
  <si>
    <t>錆止め</t>
    <rPh sb="0" eb="1">
      <t>サビ</t>
    </rPh>
    <rPh sb="1" eb="2">
      <t>ド</t>
    </rPh>
    <phoneticPr fontId="21"/>
  </si>
  <si>
    <t>躯体</t>
    <rPh sb="0" eb="1">
      <t>ムクロ</t>
    </rPh>
    <rPh sb="1" eb="2">
      <t>タイ</t>
    </rPh>
    <phoneticPr fontId="21"/>
  </si>
  <si>
    <t>躯体以外</t>
    <rPh sb="2" eb="4">
      <t>イガイ</t>
    </rPh>
    <phoneticPr fontId="21"/>
  </si>
  <si>
    <t>塗り床</t>
    <rPh sb="0" eb="1">
      <t>ヌ</t>
    </rPh>
    <rPh sb="2" eb="3">
      <t>ユカ</t>
    </rPh>
    <phoneticPr fontId="21"/>
  </si>
  <si>
    <t>備考　　　　注1：</t>
    <rPh sb="6" eb="7">
      <t>チュウ</t>
    </rPh>
    <phoneticPr fontId="21"/>
  </si>
  <si>
    <t>建材種別</t>
    <rPh sb="0" eb="2">
      <t>ケンザイ</t>
    </rPh>
    <rPh sb="2" eb="4">
      <t>シュベツ</t>
    </rPh>
    <phoneticPr fontId="21"/>
  </si>
  <si>
    <t>接着剤</t>
    <rPh sb="0" eb="3">
      <t>セッチャクザイ</t>
    </rPh>
    <phoneticPr fontId="21"/>
  </si>
  <si>
    <t>ビニル床タイル・シート用接着剤</t>
    <rPh sb="3" eb="4">
      <t>ユカ</t>
    </rPh>
    <rPh sb="11" eb="12">
      <t>ヨウ</t>
    </rPh>
    <rPh sb="12" eb="15">
      <t>セッチャクザイ</t>
    </rPh>
    <phoneticPr fontId="21"/>
  </si>
  <si>
    <t>タイル用接着剤</t>
    <rPh sb="3" eb="4">
      <t>ヨウ</t>
    </rPh>
    <rPh sb="4" eb="7">
      <t>セッチャクザイ</t>
    </rPh>
    <phoneticPr fontId="21"/>
  </si>
  <si>
    <t>壁紙用接着剤</t>
    <rPh sb="0" eb="2">
      <t>カベガミ</t>
    </rPh>
    <rPh sb="2" eb="3">
      <t>ヨウ</t>
    </rPh>
    <rPh sb="3" eb="6">
      <t>セッチャクザイ</t>
    </rPh>
    <phoneticPr fontId="21"/>
  </si>
  <si>
    <t>フローリングボード用接着剤</t>
    <rPh sb="9" eb="10">
      <t>ヨウ</t>
    </rPh>
    <rPh sb="10" eb="13">
      <t>セッチャクザイ</t>
    </rPh>
    <phoneticPr fontId="21"/>
  </si>
  <si>
    <t>シーリング材</t>
    <rPh sb="5" eb="6">
      <t>ザイ</t>
    </rPh>
    <phoneticPr fontId="21"/>
  </si>
  <si>
    <t>サッシ用シーリング</t>
    <rPh sb="3" eb="4">
      <t>ヨウ</t>
    </rPh>
    <phoneticPr fontId="21"/>
  </si>
  <si>
    <t>ガラス用シーリング</t>
    <rPh sb="3" eb="4">
      <t>ヨウ</t>
    </rPh>
    <phoneticPr fontId="21"/>
  </si>
  <si>
    <t>タイル目地シーリング</t>
    <rPh sb="3" eb="5">
      <t>メジ</t>
    </rPh>
    <phoneticPr fontId="21"/>
  </si>
  <si>
    <t>打ち継ぎ目地</t>
    <rPh sb="0" eb="1">
      <t>ウ</t>
    </rPh>
    <rPh sb="2" eb="3">
      <t>ツ</t>
    </rPh>
    <rPh sb="4" eb="5">
      <t>メ</t>
    </rPh>
    <rPh sb="5" eb="6">
      <t>ジ</t>
    </rPh>
    <phoneticPr fontId="21"/>
  </si>
  <si>
    <t>防水工事材料</t>
    <rPh sb="0" eb="2">
      <t>ボウスイ</t>
    </rPh>
    <rPh sb="2" eb="4">
      <t>コウジ</t>
    </rPh>
    <rPh sb="4" eb="6">
      <t>ザイリョウ</t>
    </rPh>
    <phoneticPr fontId="21"/>
  </si>
  <si>
    <t>防水工事のプライマー</t>
    <rPh sb="0" eb="2">
      <t>ボウスイ</t>
    </rPh>
    <rPh sb="2" eb="4">
      <t>コウジ</t>
    </rPh>
    <phoneticPr fontId="21"/>
  </si>
  <si>
    <t>a（傾き）</t>
    <rPh sb="2" eb="3">
      <t>カタム</t>
    </rPh>
    <phoneticPr fontId="21"/>
  </si>
  <si>
    <t>ｂ（切片）</t>
    <rPh sb="2" eb="4">
      <t>セッペン</t>
    </rPh>
    <phoneticPr fontId="21"/>
  </si>
  <si>
    <t>等級3</t>
    <rPh sb="0" eb="2">
      <t>トウキュウ</t>
    </rPh>
    <phoneticPr fontId="21"/>
  </si>
  <si>
    <t>2)建物利用者や地域住民が生物とふれあい自然に親しめる環境や施設等を確保している。</t>
    <phoneticPr fontId="21"/>
  </si>
  <si>
    <t>VI その他</t>
    <phoneticPr fontId="21"/>
  </si>
  <si>
    <t>合計＝</t>
    <phoneticPr fontId="21"/>
  </si>
  <si>
    <t>1.2.1</t>
    <phoneticPr fontId="21"/>
  </si>
  <si>
    <t>雨水利用システム導入の有無</t>
    <phoneticPr fontId="21"/>
  </si>
  <si>
    <t>1.2.2</t>
    <phoneticPr fontId="21"/>
  </si>
  <si>
    <t>2.1</t>
    <phoneticPr fontId="21"/>
  </si>
  <si>
    <t>2.1</t>
    <phoneticPr fontId="21"/>
  </si>
  <si>
    <t>2.2</t>
    <phoneticPr fontId="21"/>
  </si>
  <si>
    <t>2.2</t>
    <phoneticPr fontId="21"/>
  </si>
  <si>
    <t>2.3</t>
    <phoneticPr fontId="21"/>
  </si>
  <si>
    <t>2.3</t>
    <phoneticPr fontId="21"/>
  </si>
  <si>
    <t>2.4</t>
    <phoneticPr fontId="21"/>
  </si>
  <si>
    <t>2.4</t>
    <phoneticPr fontId="21"/>
  </si>
  <si>
    <t>2.5</t>
    <phoneticPr fontId="21"/>
  </si>
  <si>
    <t>持続可能な森林から産出された木材</t>
    <phoneticPr fontId="21"/>
  </si>
  <si>
    <t>2.6</t>
    <phoneticPr fontId="21"/>
  </si>
  <si>
    <t>事・学・物・飲・会・病・ホ・工</t>
    <rPh sb="2" eb="3">
      <t>ガク</t>
    </rPh>
    <rPh sb="4" eb="5">
      <t>ブツ</t>
    </rPh>
    <rPh sb="6" eb="7">
      <t>イン</t>
    </rPh>
    <rPh sb="8" eb="9">
      <t>カイ</t>
    </rPh>
    <rPh sb="14" eb="15">
      <t>コウ</t>
    </rPh>
    <phoneticPr fontId="21"/>
  </si>
  <si>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</si>
  <si>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</si>
  <si>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</si>
  <si>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1"/>
  </si>
  <si>
    <t>a.　建設に係るCO2排出量</t>
    <rPh sb="3" eb="5">
      <t>ケンセツ</t>
    </rPh>
    <rPh sb="6" eb="7">
      <t>カカ</t>
    </rPh>
    <rPh sb="11" eb="13">
      <t>ハイシュツ</t>
    </rPh>
    <rPh sb="13" eb="14">
      <t>リョウ</t>
    </rPh>
    <phoneticPr fontId="21"/>
  </si>
  <si>
    <t>kg-CO2/年m2</t>
    <rPh sb="7" eb="8">
      <t>ネン</t>
    </rPh>
    <phoneticPr fontId="21"/>
  </si>
  <si>
    <t>S造、</t>
    <rPh sb="1" eb="2">
      <t>ゾウ</t>
    </rPh>
    <phoneticPr fontId="21"/>
  </si>
  <si>
    <t>LR2/2.2 削減分</t>
    <rPh sb="8" eb="10">
      <t>サクゲン</t>
    </rPh>
    <rPh sb="10" eb="11">
      <t>ブン</t>
    </rPh>
    <phoneticPr fontId="21"/>
  </si>
  <si>
    <t>LR2/2.3 削減分</t>
    <rPh sb="8" eb="10">
      <t>サクゲン</t>
    </rPh>
    <rPh sb="10" eb="11">
      <t>ブン</t>
    </rPh>
    <phoneticPr fontId="21"/>
  </si>
  <si>
    <t>b.　修繕・更新・解体に係るCO2排出量</t>
    <rPh sb="3" eb="5">
      <t>シュウゼン</t>
    </rPh>
    <rPh sb="6" eb="8">
      <t>コウシン</t>
    </rPh>
    <rPh sb="9" eb="11">
      <t>カイタイ</t>
    </rPh>
    <rPh sb="12" eb="13">
      <t>カカ</t>
    </rPh>
    <rPh sb="17" eb="19">
      <t>ハイシュツ</t>
    </rPh>
    <rPh sb="19" eb="20">
      <t>リョウ</t>
    </rPh>
    <phoneticPr fontId="21"/>
  </si>
  <si>
    <t>削減後</t>
    <rPh sb="0" eb="2">
      <t>サクゲン</t>
    </rPh>
    <rPh sb="2" eb="3">
      <t>ゴ</t>
    </rPh>
    <phoneticPr fontId="21"/>
  </si>
  <si>
    <t>c.　運用に係るCO2排出量</t>
    <rPh sb="3" eb="5">
      <t>ウンヨウ</t>
    </rPh>
    <rPh sb="6" eb="7">
      <t>カカ</t>
    </rPh>
    <rPh sb="11" eb="13">
      <t>ハイシュツ</t>
    </rPh>
    <rPh sb="13" eb="14">
      <t>リョウ</t>
    </rPh>
    <phoneticPr fontId="21"/>
  </si>
  <si>
    <t>電力　（実排出係数）</t>
    <rPh sb="0" eb="2">
      <t>デンリョク</t>
    </rPh>
    <rPh sb="4" eb="5">
      <t>ジツ</t>
    </rPh>
    <rPh sb="5" eb="7">
      <t>ハイシュツ</t>
    </rPh>
    <rPh sb="7" eb="9">
      <t>ケイスウ</t>
    </rPh>
    <phoneticPr fontId="28"/>
  </si>
  <si>
    <t>事務室の天井高2.5m以上となっており、かつ、すべての執務者が十分な屋外の情報を得られるように窓が設置されている。</t>
    <phoneticPr fontId="21"/>
  </si>
  <si>
    <t>売場の天井高3.0m以上。</t>
    <phoneticPr fontId="21"/>
  </si>
  <si>
    <t>住居・宿泊部の天井高2.3m以上。</t>
    <phoneticPr fontId="21"/>
  </si>
  <si>
    <t>事務室の天井高2.7m以上となっており、かつ、すべての執務者が十分な屋外の情報を得られるように窓が設置されている。</t>
    <phoneticPr fontId="21"/>
  </si>
  <si>
    <t>売場の天井高3.3m以上。</t>
    <phoneticPr fontId="21"/>
  </si>
  <si>
    <t>住居・宿泊部の天井高2.5m以上。</t>
    <phoneticPr fontId="21"/>
  </si>
  <si>
    <t>教室・専有部のほぼ全体（80%以上）が、外皮に２方向面しており、有効な採光・通風が確保されている。</t>
    <rPh sb="0" eb="2">
      <t>キョウシツ</t>
    </rPh>
    <rPh sb="3" eb="5">
      <t>センユウ</t>
    </rPh>
    <rPh sb="5" eb="6">
      <t>ブ</t>
    </rPh>
    <phoneticPr fontId="21"/>
  </si>
  <si>
    <t>2300N/㎡以上～2900N/㎡未満</t>
    <phoneticPr fontId="21"/>
  </si>
  <si>
    <t>1800N/㎡以上～2100N/㎡未満</t>
    <phoneticPr fontId="21"/>
  </si>
  <si>
    <t>3500N/㎡以上～4500N/㎡未満</t>
    <phoneticPr fontId="21"/>
  </si>
  <si>
    <t>4200N/㎡以上～5200N/㎡未満</t>
    <phoneticPr fontId="21"/>
  </si>
  <si>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1"/>
  </si>
  <si>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</si>
  <si>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</si>
  <si>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</si>
  <si>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</si>
  <si>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</si>
  <si>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</si>
  <si>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1"/>
  </si>
  <si>
    <t>遮音</t>
    <rPh sb="0" eb="2">
      <t>シャオン</t>
    </rPh>
    <phoneticPr fontId="21"/>
  </si>
  <si>
    <r>
      <t xml:space="preserve">1.2.1 </t>
    </r>
    <r>
      <rPr>
        <b/>
        <sz val="10"/>
        <rFont val="ＭＳ Ｐゴシック"/>
        <family val="3"/>
        <charset val="128"/>
      </rPr>
      <t>開口部遮音性能</t>
    </r>
    <rPh sb="6" eb="9">
      <t>カイコウブ</t>
    </rPh>
    <rPh sb="9" eb="11">
      <t>シャオン</t>
    </rPh>
    <phoneticPr fontId="21"/>
  </si>
  <si>
    <t>建物全体・共用部分</t>
    <phoneticPr fontId="21"/>
  </si>
  <si>
    <t>事・学・物・飲・会・病・ホ・工・住</t>
    <rPh sb="4" eb="5">
      <t>ブツ</t>
    </rPh>
    <rPh sb="8" eb="9">
      <t>カイ</t>
    </rPh>
    <phoneticPr fontId="21"/>
  </si>
  <si>
    <t>騒音が気になる。</t>
    <rPh sb="0" eb="2">
      <t>ソウオン</t>
    </rPh>
    <rPh sb="3" eb="4">
      <t>キ</t>
    </rPh>
    <phoneticPr fontId="21"/>
  </si>
  <si>
    <t>騒音がほとんど気にならない。</t>
    <rPh sb="0" eb="2">
      <t>ソウオン</t>
    </rPh>
    <rPh sb="7" eb="8">
      <t>キ</t>
    </rPh>
    <phoneticPr fontId="21"/>
  </si>
  <si>
    <t>騒音が気にならない</t>
    <rPh sb="0" eb="2">
      <t>ソウオン</t>
    </rPh>
    <rPh sb="3" eb="4">
      <t>キ</t>
    </rPh>
    <phoneticPr fontId="21"/>
  </si>
  <si>
    <t>騒音が気にならない。</t>
    <rPh sb="0" eb="2">
      <t>ソウオン</t>
    </rPh>
    <rPh sb="3" eb="4">
      <t>キ</t>
    </rPh>
    <phoneticPr fontId="21"/>
  </si>
  <si>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</si>
  <si>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</si>
  <si>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</si>
  <si>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</si>
  <si>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</si>
  <si>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1"/>
  </si>
  <si>
    <t>1.25％≦ [昼光率]</t>
    <phoneticPr fontId="21"/>
  </si>
  <si>
    <t xml:space="preserve">2.0％≦ [昼光率] </t>
    <phoneticPr fontId="21"/>
  </si>
  <si>
    <t>住居・宿泊部分</t>
    <phoneticPr fontId="21"/>
  </si>
  <si>
    <t>-</t>
    <phoneticPr fontId="21"/>
  </si>
  <si>
    <t>建物全体・共用部分</t>
    <phoneticPr fontId="21"/>
  </si>
  <si>
    <t>-</t>
    <phoneticPr fontId="21"/>
  </si>
  <si>
    <t>昼光利用設備がない。</t>
    <phoneticPr fontId="21"/>
  </si>
  <si>
    <t>効率評価の事例</t>
    <rPh sb="0" eb="2">
      <t>コウリツ</t>
    </rPh>
    <rPh sb="2" eb="4">
      <t>ヒョウカ</t>
    </rPh>
    <rPh sb="5" eb="7">
      <t>ジレイ</t>
    </rPh>
    <phoneticPr fontId="21"/>
  </si>
  <si>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</si>
  <si>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</si>
  <si>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</si>
  <si>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</si>
  <si>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</si>
  <si>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</si>
  <si>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</si>
  <si>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</si>
  <si>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</si>
  <si>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</si>
  <si>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</si>
  <si>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1"/>
  </si>
  <si>
    <t>等級2</t>
    <rPh sb="0" eb="2">
      <t>トウキュウ</t>
    </rPh>
    <phoneticPr fontId="21"/>
  </si>
  <si>
    <t>等級4</t>
    <rPh sb="0" eb="2">
      <t>トウキュウ</t>
    </rPh>
    <phoneticPr fontId="21"/>
  </si>
  <si>
    <t>等級未入力</t>
    <rPh sb="0" eb="2">
      <t>トウキュウ</t>
    </rPh>
    <rPh sb="2" eb="5">
      <t>ミニュウリョク</t>
    </rPh>
    <phoneticPr fontId="21"/>
  </si>
  <si>
    <t>MJ/年㎡</t>
    <rPh sb="3" eb="4">
      <t>ネン</t>
    </rPh>
    <phoneticPr fontId="21"/>
  </si>
  <si>
    <t>レベル３を満たし、かつ複数の機器の使い分けが可能</t>
    <rPh sb="11" eb="13">
      <t>フクスウ</t>
    </rPh>
    <rPh sb="14" eb="16">
      <t>キキ</t>
    </rPh>
    <rPh sb="17" eb="18">
      <t>ツカ</t>
    </rPh>
    <rPh sb="19" eb="20">
      <t>ワ</t>
    </rPh>
    <rPh sb="22" eb="24">
      <t>カノウ</t>
    </rPh>
    <phoneticPr fontId="21"/>
  </si>
  <si>
    <r>
      <t xml:space="preserve">3.3.2 </t>
    </r>
    <r>
      <rPr>
        <b/>
        <sz val="10"/>
        <rFont val="ＭＳ Ｐゴシック"/>
        <family val="3"/>
        <charset val="128"/>
      </rPr>
      <t>照度均斉度</t>
    </r>
    <rPh sb="6" eb="8">
      <t>ショウド</t>
    </rPh>
    <rPh sb="8" eb="10">
      <t>キンセイ</t>
    </rPh>
    <rPh sb="10" eb="11">
      <t>ド</t>
    </rPh>
    <phoneticPr fontId="21"/>
  </si>
  <si>
    <t>事・学・病(診)・ホ・工・住</t>
    <rPh sb="2" eb="3">
      <t>ガク</t>
    </rPh>
    <rPh sb="6" eb="7">
      <t>ミ</t>
    </rPh>
    <phoneticPr fontId="21"/>
  </si>
  <si>
    <t>全般照明方式の場合で室内に許容できる程度の暗い部分がある。タスク・アンビエント照明方式の場合で作業面の明るさと周りの明るさのバランスが不十分。</t>
    <rPh sb="41" eb="43">
      <t>ホウシキ</t>
    </rPh>
    <phoneticPr fontId="21"/>
  </si>
  <si>
    <t>全般照明方式の場合で室内に暗い部分がない。タスク・アンビエント照明方式の場合で作業面の明るさと周りの明るさのバランスが良い。</t>
    <rPh sb="33" eb="35">
      <t>ホウシキ</t>
    </rPh>
    <phoneticPr fontId="21"/>
  </si>
  <si>
    <t>事・学(大学等)・物・病・ホ・工・住</t>
    <rPh sb="2" eb="3">
      <t>ガク</t>
    </rPh>
    <rPh sb="9" eb="10">
      <t>ブツ</t>
    </rPh>
    <rPh sb="17" eb="18">
      <t>ジュウ</t>
    </rPh>
    <phoneticPr fontId="21"/>
  </si>
  <si>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</si>
  <si>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</si>
  <si>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</si>
  <si>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</si>
  <si>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</si>
  <si>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1"/>
  </si>
  <si>
    <t>４作業単位で照明制御できる、または、照明制御盤・器具等で調整できる。</t>
    <rPh sb="6" eb="8">
      <t>ショウメイ</t>
    </rPh>
    <phoneticPr fontId="21"/>
  </si>
  <si>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</si>
  <si>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</si>
  <si>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1"/>
  </si>
  <si>
    <t>5年以上～10年未満</t>
  </si>
  <si>
    <t>10年以上～15年未満</t>
  </si>
  <si>
    <t>10年</t>
  </si>
  <si>
    <t>15年</t>
  </si>
  <si>
    <t>ほぼ全てに亜鉛鉄板を使用</t>
    <rPh sb="2" eb="3">
      <t>スベ</t>
    </rPh>
    <rPh sb="5" eb="7">
      <t>アエン</t>
    </rPh>
    <rPh sb="7" eb="9">
      <t>テッパン</t>
    </rPh>
    <rPh sb="10" eb="12">
      <t>シヨウ</t>
    </rPh>
    <phoneticPr fontId="21"/>
  </si>
  <si>
    <t>日影規制を満たしている、または当該敷地に日影規制が無い場合。</t>
    <phoneticPr fontId="21"/>
  </si>
  <si>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1"/>
  </si>
  <si>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1"/>
  </si>
  <si>
    <r>
      <t>3.3.1</t>
    </r>
    <r>
      <rPr>
        <b/>
        <sz val="10"/>
        <rFont val="ＭＳ Ｐゴシック"/>
        <family val="3"/>
        <charset val="128"/>
      </rPr>
      <t>　屋外照明及び屋内照明のうち外に漏れる光への対策</t>
    </r>
    <phoneticPr fontId="21"/>
  </si>
  <si>
    <t>3.3.2</t>
    <phoneticPr fontId="21"/>
  </si>
  <si>
    <t>昼光の建物外壁による反射光（グレア）への対策</t>
    <phoneticPr fontId="34" type="noConversion"/>
  </si>
  <si>
    <t>d. LCCO2算定条件</t>
    <rPh sb="8" eb="10">
      <t>サンテイ</t>
    </rPh>
    <rPh sb="10" eb="12">
      <t>ジョウケン</t>
    </rPh>
    <phoneticPr fontId="21"/>
  </si>
  <si>
    <t>各建築物に適用されている法律、規則、基準などに則り、ねずみ等の点検・防除を定期的に実施している。
※法律、規則、基準などがない建築物の場合は年1回のねずみ等の点検・防除を実施している。</t>
    <phoneticPr fontId="21"/>
  </si>
  <si>
    <t>建築物環境衛生管理基準レベルのねずみ等の点検・防除を実施し、記録を保管している。</t>
    <phoneticPr fontId="21"/>
  </si>
  <si>
    <t>給水・給湯管理（飲用・炊事用・浴用等）は何も実施していない。</t>
    <phoneticPr fontId="21"/>
  </si>
  <si>
    <t>「水道法」に基づき、受水槽の清掃や水質の外部検査を年1回実施し、改善している。
※直結式給水で受水槽がない場合は取組み「0点」として評価する。</t>
    <phoneticPr fontId="21"/>
  </si>
  <si>
    <t>建築物環境衛生管理基準レベルの給水・給湯管理（飲用・炊事用・浴用等）を実施し、記録を保管している。</t>
    <phoneticPr fontId="21"/>
  </si>
  <si>
    <r>
      <t xml:space="preserve">2.1.2 </t>
    </r>
    <r>
      <rPr>
        <b/>
        <sz val="10"/>
        <rFont val="ＭＳ Ｐゴシック"/>
        <family val="3"/>
        <charset val="128"/>
      </rPr>
      <t>免震・制振性能</t>
    </r>
    <phoneticPr fontId="21"/>
  </si>
  <si>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1"/>
  </si>
  <si>
    <t>その他：その他、自然を活用した有効なシステムが計画されていること。</t>
    <rPh sb="2" eb="3">
      <t>タ</t>
    </rPh>
    <phoneticPr fontId="21"/>
  </si>
  <si>
    <t>ON</t>
  </si>
  <si>
    <t>-</t>
    <phoneticPr fontId="21"/>
  </si>
  <si>
    <r>
      <t xml:space="preserve">2.1.2 </t>
    </r>
    <r>
      <rPr>
        <b/>
        <sz val="10"/>
        <rFont val="ＭＳ Ｐゴシック"/>
        <family val="3"/>
        <charset val="128"/>
      </rPr>
      <t>外皮性能</t>
    </r>
    <rPh sb="6" eb="8">
      <t>ガイヒ</t>
    </rPh>
    <rPh sb="8" eb="10">
      <t>セイノウ</t>
    </rPh>
    <phoneticPr fontId="21"/>
  </si>
  <si>
    <t>負荷変動・追従制御性</t>
    <phoneticPr fontId="21"/>
  </si>
  <si>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1"/>
  </si>
  <si>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1"/>
  </si>
  <si>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1"/>
  </si>
  <si>
    <r>
      <t xml:space="preserve">2.1.3 </t>
    </r>
    <r>
      <rPr>
        <b/>
        <sz val="10"/>
        <rFont val="ＭＳ Ｐゴシック"/>
        <family val="3"/>
        <charset val="128"/>
      </rPr>
      <t>ゾーン別制御性</t>
    </r>
    <rPh sb="9" eb="10">
      <t>ベツ</t>
    </rPh>
    <rPh sb="10" eb="13">
      <t>セイギョセイ</t>
    </rPh>
    <phoneticPr fontId="21"/>
  </si>
  <si>
    <r>
      <t xml:space="preserve">3.2.1 </t>
    </r>
    <r>
      <rPr>
        <b/>
        <sz val="10"/>
        <rFont val="ＭＳ Ｐゴシック"/>
        <family val="3"/>
        <charset val="128"/>
      </rPr>
      <t>昼光制御</t>
    </r>
    <rPh sb="6" eb="7">
      <t>ヒル</t>
    </rPh>
    <rPh sb="7" eb="8">
      <t>ヒカリ</t>
    </rPh>
    <rPh sb="8" eb="10">
      <t>セイギョ</t>
    </rPh>
    <phoneticPr fontId="21"/>
  </si>
  <si>
    <r>
      <t>3.2.2</t>
    </r>
    <r>
      <rPr>
        <b/>
        <sz val="10"/>
        <rFont val="ＭＳ Ｐゴシック"/>
        <family val="3"/>
        <charset val="128"/>
      </rPr>
      <t>　映り込み対策</t>
    </r>
    <rPh sb="6" eb="7">
      <t>ウツ</t>
    </rPh>
    <rPh sb="8" eb="9">
      <t>コ</t>
    </rPh>
    <rPh sb="10" eb="12">
      <t>タイサク</t>
    </rPh>
    <phoneticPr fontId="21"/>
  </si>
  <si>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</si>
  <si>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</si>
  <si>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1"/>
  </si>
  <si>
    <t xml:space="preserve">1.00 ＜ [BPIm] </t>
    <phoneticPr fontId="21"/>
  </si>
  <si>
    <t>0.97 ＜ [BPIm] ≦1.00</t>
    <phoneticPr fontId="21"/>
  </si>
  <si>
    <t>0.90 ＜ [BPIm] ≦ 0.97</t>
    <phoneticPr fontId="21"/>
  </si>
  <si>
    <t xml:space="preserve">        [BPIm] ≦ 0.90</t>
    <phoneticPr fontId="21"/>
  </si>
  <si>
    <t xml:space="preserve">        [BPIm] ≦ 0.93</t>
    <phoneticPr fontId="21"/>
  </si>
  <si>
    <t>0.93 ＜ [BPIm] ≦ 0.97</t>
    <phoneticPr fontId="21"/>
  </si>
  <si>
    <t>0.97 ＜ [BPIm] ≦ 1.00</t>
    <phoneticPr fontId="21"/>
  </si>
  <si>
    <t>1.00 ＜ [BPIm]</t>
    <phoneticPr fontId="21"/>
  </si>
  <si>
    <t>日本住宅性能表示基準「5-1断熱等性能等級」における等級１に相当</t>
    <rPh sb="14" eb="16">
      <t>ダンネツ</t>
    </rPh>
    <rPh sb="16" eb="17">
      <t>トウ</t>
    </rPh>
    <rPh sb="17" eb="19">
      <t>セイノウ</t>
    </rPh>
    <rPh sb="30" eb="32">
      <t>ソウトウ</t>
    </rPh>
    <phoneticPr fontId="21"/>
  </si>
  <si>
    <t>日本住宅性能表示基準「5-1断熱等性能等級」における等級２に相当</t>
    <phoneticPr fontId="21"/>
  </si>
  <si>
    <t>日本住宅性能表示基準「5-1断熱等性能等級」における等級３に相当</t>
    <phoneticPr fontId="21"/>
  </si>
  <si>
    <t>日本住宅性能表示基準「5-1断熱等性能等級」における等級４に相当</t>
    <phoneticPr fontId="21"/>
  </si>
  <si>
    <t>レベル３に加えて年間エネルギー消費量の計算に基づく、建物全体のエネルギー消費量の目標値が計画され、建築主に提出されている。</t>
    <phoneticPr fontId="21"/>
  </si>
  <si>
    <t>レベル４に加えて、運用時の定期的な設備性能検証、不具合是正等の具体的な実施方策が計画されている。（コミッショニング）</t>
    <phoneticPr fontId="21"/>
  </si>
  <si>
    <t>土壌改良材</t>
  </si>
  <si>
    <t>自然エネルギー利用</t>
    <rPh sb="0" eb="2">
      <t>シゼン</t>
    </rPh>
    <rPh sb="7" eb="9">
      <t>リヨウ</t>
    </rPh>
    <phoneticPr fontId="21"/>
  </si>
  <si>
    <t>採点シートの
採点結果</t>
    <rPh sb="0" eb="2">
      <t>サイテン</t>
    </rPh>
    <rPh sb="7" eb="9">
      <t>サイテン</t>
    </rPh>
    <rPh sb="9" eb="11">
      <t>ケッカ</t>
    </rPh>
    <phoneticPr fontId="21"/>
  </si>
  <si>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1"/>
  </si>
  <si>
    <t>Ａａ0</t>
    <phoneticPr fontId="21"/>
  </si>
  <si>
    <t>レベル４</t>
  </si>
  <si>
    <t>Ａａ4</t>
    <phoneticPr fontId="21"/>
  </si>
  <si>
    <t>Ａｂ0</t>
    <phoneticPr fontId="21"/>
  </si>
  <si>
    <t>Ａｂ4</t>
    <phoneticPr fontId="21"/>
  </si>
  <si>
    <t>Ｂａ0</t>
    <phoneticPr fontId="21"/>
  </si>
  <si>
    <t>Ｂａ4</t>
  </si>
  <si>
    <t>Ｂｂ0</t>
    <phoneticPr fontId="21"/>
  </si>
  <si>
    <t>Ｂｂ4</t>
    <phoneticPr fontId="21"/>
  </si>
  <si>
    <t>Ｃａ0</t>
    <phoneticPr fontId="21"/>
  </si>
  <si>
    <t>Ｃａ4</t>
    <phoneticPr fontId="21"/>
  </si>
  <si>
    <t>Ｃｂ0</t>
    <phoneticPr fontId="21"/>
  </si>
  <si>
    <t>Ｃｂ1</t>
    <phoneticPr fontId="21"/>
  </si>
  <si>
    <t>Ｃｂ4</t>
    <phoneticPr fontId="21"/>
  </si>
  <si>
    <t>集合住宅以外の評価(3a.3b)</t>
    <rPh sb="0" eb="2">
      <t>シュウゴウ</t>
    </rPh>
    <rPh sb="2" eb="4">
      <t>ジュウタク</t>
    </rPh>
    <rPh sb="4" eb="6">
      <t>イガイ</t>
    </rPh>
    <rPh sb="7" eb="9">
      <t>ヒョウカ</t>
    </rPh>
    <phoneticPr fontId="21"/>
  </si>
  <si>
    <t>集合住宅の評価(3c)</t>
    <rPh sb="0" eb="2">
      <t>シュウゴウ</t>
    </rPh>
    <rPh sb="2" eb="4">
      <t>ジュウタク</t>
    </rPh>
    <rPh sb="5" eb="7">
      <t>ヒョウカ</t>
    </rPh>
    <phoneticPr fontId="21"/>
  </si>
  <si>
    <t>「住宅に係るエネルギーの合理化に関する設計、施工及び維持保全の指針」に定められる「一次エネルギー消費量に関する基準」を満たし、且つ日本住宅性能表示基準「5-1断熱等性能等級」における等級４を満たす場合はレベル４と評価することができる。上記を満たさない場合はレベル１を選択する。</t>
    <rPh sb="133" eb="135">
      <t>センタク</t>
    </rPh>
    <phoneticPr fontId="21"/>
  </si>
  <si>
    <t>■算定プログラムを使わない場合の評価　 (以下の３カ所を必ず選択して下さい）</t>
    <rPh sb="1" eb="3">
      <t>サンテイ</t>
    </rPh>
    <rPh sb="9" eb="10">
      <t>ツカ</t>
    </rPh>
    <rPh sb="13" eb="15">
      <t>バアイ</t>
    </rPh>
    <rPh sb="16" eb="18">
      <t>ヒョウカ</t>
    </rPh>
    <rPh sb="21" eb="23">
      <t>イカ</t>
    </rPh>
    <rPh sb="26" eb="27">
      <t>ショ</t>
    </rPh>
    <rPh sb="28" eb="29">
      <t>カナラ</t>
    </rPh>
    <rPh sb="30" eb="32">
      <t>センタク</t>
    </rPh>
    <rPh sb="34" eb="35">
      <t>クダ</t>
    </rPh>
    <phoneticPr fontId="21"/>
  </si>
  <si>
    <t>算定プログラムによる評価</t>
    <rPh sb="0" eb="2">
      <t>サンテイ</t>
    </rPh>
    <rPh sb="10" eb="12">
      <t>ヒョウカ</t>
    </rPh>
    <phoneticPr fontId="21"/>
  </si>
  <si>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</si>
  <si>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</si>
  <si>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</si>
  <si>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3"/>
  </si>
  <si>
    <t>ａ ：単位住戸全体を冷房する方式</t>
  </si>
  <si>
    <t>ｂ ：居室のみを冷房する方式（間歇運転）</t>
  </si>
  <si>
    <t>採点レベル</t>
    <rPh sb="0" eb="2">
      <t>サイテン</t>
    </rPh>
    <phoneticPr fontId="21"/>
  </si>
  <si>
    <t>合計</t>
    <rPh sb="0" eb="2">
      <t>ゴウケイ</t>
    </rPh>
    <phoneticPr fontId="21"/>
  </si>
  <si>
    <t>■</t>
    <phoneticPr fontId="21"/>
  </si>
  <si>
    <t>「－」の場合</t>
    <phoneticPr fontId="21"/>
  </si>
  <si>
    <t>BEIｍ=</t>
    <phoneticPr fontId="21"/>
  </si>
  <si>
    <t>BEIｍ（ｵﾝｻｲﾄ分含まない）=</t>
    <rPh sb="10" eb="11">
      <t>ブン</t>
    </rPh>
    <rPh sb="11" eb="12">
      <t>フク</t>
    </rPh>
    <phoneticPr fontId="21"/>
  </si>
  <si>
    <t>算定プログラムを使わない場合の評価</t>
    <rPh sb="0" eb="2">
      <t>サンテイ</t>
    </rPh>
    <rPh sb="8" eb="9">
      <t>ツカ</t>
    </rPh>
    <rPh sb="12" eb="14">
      <t>バアイ</t>
    </rPh>
    <rPh sb="15" eb="17">
      <t>ヒョウカ</t>
    </rPh>
    <phoneticPr fontId="21"/>
  </si>
  <si>
    <t>－</t>
  </si>
  <si>
    <t xml:space="preserve"> レベル1：  一次エネルギー消費率が130%以上　</t>
    <phoneticPr fontId="21"/>
  </si>
  <si>
    <t xml:space="preserve"> レベル2：  一次エネルギー消費率が120%</t>
    <phoneticPr fontId="21"/>
  </si>
  <si>
    <t xml:space="preserve"> レベル3：  一次エネルギー消費率が110%</t>
    <phoneticPr fontId="21"/>
  </si>
  <si>
    <t xml:space="preserve"> レベル5：  一次エネルギー消費率が90%以下
　　　　　　　（低炭素基準相当）</t>
    <phoneticPr fontId="21"/>
  </si>
  <si>
    <t xml:space="preserve"> レベル4：  一次エネルギー消費率が100%
                （H25基準相当）</t>
    <phoneticPr fontId="21"/>
  </si>
  <si>
    <t>3a.3b</t>
    <phoneticPr fontId="21"/>
  </si>
  <si>
    <t>3b.c</t>
    <phoneticPr fontId="21"/>
  </si>
  <si>
    <t>㎡</t>
    <phoneticPr fontId="21"/>
  </si>
  <si>
    <t>LR1/3c 仕様基準評価の場合のCO2排出量算出に用いる一次エネルギー消費量</t>
    <rPh sb="7" eb="9">
      <t>シヨウ</t>
    </rPh>
    <rPh sb="9" eb="11">
      <t>キジュン</t>
    </rPh>
    <rPh sb="11" eb="13">
      <t>ヒョウカ</t>
    </rPh>
    <rPh sb="14" eb="16">
      <t>バアイ</t>
    </rPh>
    <phoneticPr fontId="21"/>
  </si>
  <si>
    <t>LR1/3cの</t>
    <phoneticPr fontId="21"/>
  </si>
  <si>
    <t>仕様基準でLR1/3cを評価した場合</t>
    <rPh sb="0" eb="2">
      <t>シヨウ</t>
    </rPh>
    <rPh sb="2" eb="4">
      <t>キジュン</t>
    </rPh>
    <rPh sb="12" eb="14">
      <t>ヒョウカ</t>
    </rPh>
    <rPh sb="16" eb="18">
      <t>バアイ</t>
    </rPh>
    <phoneticPr fontId="21"/>
  </si>
  <si>
    <t>LR1/2. 自然ｴﾈﾙｷﾞｰ利用</t>
    <rPh sb="7" eb="9">
      <t>シゼン</t>
    </rPh>
    <rPh sb="15" eb="17">
      <t>リヨウ</t>
    </rPh>
    <phoneticPr fontId="21"/>
  </si>
  <si>
    <t>図を貼り付けるときは</t>
    <rPh sb="0" eb="1">
      <t>ズ</t>
    </rPh>
    <rPh sb="2" eb="3">
      <t>ハ</t>
    </rPh>
    <rPh sb="4" eb="5">
      <t>ツ</t>
    </rPh>
    <phoneticPr fontId="21"/>
  </si>
  <si>
    <t>シートの保護を解除してください</t>
    <phoneticPr fontId="21"/>
  </si>
  <si>
    <t>1.05　＜ [BEIm値]　</t>
    <phoneticPr fontId="21"/>
  </si>
  <si>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1"/>
  </si>
  <si>
    <t>評価する取組みのうち、何れかの手法が有効性を検討した上で採用されている。（但し、モニュメントの計画を除く。）</t>
    <phoneticPr fontId="21"/>
  </si>
  <si>
    <t>対象外</t>
    <rPh sb="0" eb="3">
      <t>タイショウガイ</t>
    </rPh>
    <phoneticPr fontId="21"/>
  </si>
  <si>
    <t>用途別スコア入力</t>
    <rPh sb="0" eb="2">
      <t>ﾖｳﾄ</t>
    </rPh>
    <rPh sb="2" eb="3">
      <t>ﾍﾞﾂ</t>
    </rPh>
    <rPh sb="6" eb="8">
      <t>ﾆｭｳﾘｮｸ</t>
    </rPh>
    <phoneticPr fontId="34" type="noConversion"/>
  </si>
  <si>
    <t>↓Q1とQ2の1は対象外の為、入力不要です。</t>
  </si>
  <si>
    <t>事務所</t>
    <rPh sb="0" eb="2">
      <t>ｼﾞﾑ</t>
    </rPh>
    <rPh sb="2" eb="3">
      <t>ｼｮ</t>
    </rPh>
    <phoneticPr fontId="168" type="noConversion"/>
  </si>
  <si>
    <t>学校</t>
    <rPh sb="0" eb="2">
      <t>ｶﾞｯｺｳ</t>
    </rPh>
    <phoneticPr fontId="168" type="noConversion"/>
  </si>
  <si>
    <t>物販店</t>
    <rPh sb="0" eb="1">
      <t>ﾌﾞﾂ</t>
    </rPh>
    <rPh sb="1" eb="2">
      <t>ﾊﾝ</t>
    </rPh>
    <rPh sb="2" eb="3">
      <t>ﾃﾝ</t>
    </rPh>
    <phoneticPr fontId="168" type="noConversion"/>
  </si>
  <si>
    <t>飲食店</t>
    <rPh sb="0" eb="2">
      <t>ｲﾝｼｮｸ</t>
    </rPh>
    <rPh sb="2" eb="3">
      <t>ﾐｾ</t>
    </rPh>
    <phoneticPr fontId="168" type="noConversion"/>
  </si>
  <si>
    <t>集会所</t>
    <rPh sb="0" eb="3">
      <t>ｼｭｳｶｲｼﾞｮ</t>
    </rPh>
    <phoneticPr fontId="168" type="noConversion"/>
  </si>
  <si>
    <t>工場</t>
    <rPh sb="0" eb="2">
      <t>ｺｳｼﾞｮｳ</t>
    </rPh>
    <phoneticPr fontId="168" type="noConversion"/>
  </si>
  <si>
    <t>病院</t>
    <rPh sb="0" eb="2">
      <t>ﾋﾞｮｳｲﾝ</t>
    </rPh>
    <phoneticPr fontId="168" type="noConversion"/>
  </si>
  <si>
    <t>集合住宅</t>
    <rPh sb="0" eb="2">
      <t>ｼｭｳｺﾞｳ</t>
    </rPh>
    <rPh sb="2" eb="4">
      <t>ｼﾞｭｳﾀｸ</t>
    </rPh>
    <phoneticPr fontId="168" type="noConversion"/>
  </si>
  <si>
    <t>面積加重</t>
    <rPh sb="0" eb="2">
      <t>メンセキ</t>
    </rPh>
    <rPh sb="2" eb="4">
      <t>カジュウ</t>
    </rPh>
    <phoneticPr fontId="21"/>
  </si>
  <si>
    <t>評価点</t>
    <rPh sb="0" eb="2">
      <t>ヒョウカ</t>
    </rPh>
    <rPh sb="2" eb="3">
      <t>テン</t>
    </rPh>
    <phoneticPr fontId="21"/>
  </si>
  <si>
    <t>学校
(小中高)</t>
    <rPh sb="0" eb="2">
      <t>ガッコウ</t>
    </rPh>
    <phoneticPr fontId="21"/>
  </si>
  <si>
    <t>設計仕様に基づく評価</t>
    <phoneticPr fontId="21"/>
  </si>
  <si>
    <t>（１）　設計仕様に基づく評価の補正</t>
    <phoneticPr fontId="21"/>
  </si>
  <si>
    <t>（２）　実測結果に基づく評価</t>
    <phoneticPr fontId="21"/>
  </si>
  <si>
    <t>評　価　ソ　フ　ト</t>
    <rPh sb="0" eb="1">
      <t>ヒョウ</t>
    </rPh>
    <rPh sb="2" eb="3">
      <t>アタイ</t>
    </rPh>
    <phoneticPr fontId="21"/>
  </si>
  <si>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1"/>
  </si>
  <si>
    <t>評価内容</t>
    <phoneticPr fontId="21"/>
  </si>
  <si>
    <t>1) 業務仕様</t>
    <phoneticPr fontId="21"/>
  </si>
  <si>
    <t>清掃管理および設備管理仕様書の基本方針において環境配慮を明示している。</t>
  </si>
  <si>
    <r>
      <t>2)</t>
    </r>
    <r>
      <rPr>
        <sz val="9"/>
        <rFont val="ＭＳ Ｐゴシック"/>
        <family val="3"/>
        <charset val="128"/>
      </rPr>
      <t xml:space="preserve"> 契約形態</t>
    </r>
    <phoneticPr fontId="21"/>
  </si>
  <si>
    <t>安定した品質を維持するために業務契約期間を2年以上としている。</t>
  </si>
  <si>
    <r>
      <t>3)</t>
    </r>
    <r>
      <rPr>
        <sz val="9"/>
        <rFont val="ＭＳ Ｐゴシック"/>
        <family val="3"/>
        <charset val="128"/>
      </rPr>
      <t xml:space="preserve"> 業務手順</t>
    </r>
    <phoneticPr fontId="21"/>
  </si>
  <si>
    <t>清掃管理と設備管理における業務標準手順書を用意している。</t>
  </si>
  <si>
    <t>4) インスペクション</t>
    <phoneticPr fontId="21"/>
  </si>
  <si>
    <t>清掃および設備の維持管理状態のインスペクション記録がある。</t>
  </si>
  <si>
    <r>
      <t>5)</t>
    </r>
    <r>
      <rPr>
        <sz val="9"/>
        <rFont val="ＭＳ Ｐゴシック"/>
        <family val="3"/>
        <charset val="128"/>
      </rPr>
      <t xml:space="preserve"> 計画</t>
    </r>
    <phoneticPr fontId="21"/>
  </si>
  <si>
    <t>外気に接するガラス･照明の清掃を含めた計画書がある。</t>
  </si>
  <si>
    <r>
      <t>6)</t>
    </r>
    <r>
      <rPr>
        <sz val="9"/>
        <rFont val="ＭＳ Ｐゴシック"/>
        <family val="3"/>
        <charset val="128"/>
      </rPr>
      <t xml:space="preserve"> 業務員への教育</t>
    </r>
    <phoneticPr fontId="21"/>
  </si>
  <si>
    <t>年1回以上の環境等をテーマにしたトレーニングの計画と記録がある。</t>
  </si>
  <si>
    <t>7) EMS</t>
    <phoneticPr fontId="21"/>
  </si>
  <si>
    <t>管理者が外部評価による環境マネジメントシステム(EMS)の認証を得ている。</t>
  </si>
  <si>
    <t>合計＝</t>
    <phoneticPr fontId="21"/>
  </si>
  <si>
    <t>Ⅱ 建築物衛生法における特定建築物に該当しない建築物の場合に評価する取組み</t>
    <phoneticPr fontId="21"/>
  </si>
  <si>
    <r>
      <t>1)</t>
    </r>
    <r>
      <rPr>
        <sz val="9"/>
        <rFont val="ＭＳ Ｐゴシック"/>
        <family val="3"/>
        <charset val="128"/>
      </rPr>
      <t xml:space="preserve"> 頻度</t>
    </r>
    <phoneticPr fontId="21"/>
  </si>
  <si>
    <t>施設清掃や設備点検･清掃の箇所別頻度の設定がなされている。</t>
  </si>
  <si>
    <r>
      <t>2)</t>
    </r>
    <r>
      <rPr>
        <sz val="9"/>
        <rFont val="ＭＳ Ｐゴシック"/>
        <family val="3"/>
        <charset val="128"/>
      </rPr>
      <t xml:space="preserve"> 役割</t>
    </r>
    <phoneticPr fontId="21"/>
  </si>
  <si>
    <t>施設清掃と設備点検･清掃における各責任者･委託先が決められている。</t>
  </si>
  <si>
    <r>
      <t>3)</t>
    </r>
    <r>
      <rPr>
        <sz val="9"/>
        <rFont val="ＭＳ Ｐゴシック"/>
        <family val="3"/>
        <charset val="128"/>
      </rPr>
      <t xml:space="preserve"> 手順</t>
    </r>
    <phoneticPr fontId="21"/>
  </si>
  <si>
    <t>施設清掃と設備点検･清掃における作業手順書やマニュアルを用意している。</t>
  </si>
  <si>
    <r>
      <t>4)</t>
    </r>
    <r>
      <rPr>
        <sz val="9"/>
        <rFont val="ＭＳ Ｐゴシック"/>
        <family val="3"/>
        <charset val="128"/>
      </rPr>
      <t xml:space="preserve"> 点検</t>
    </r>
    <phoneticPr fontId="21"/>
  </si>
  <si>
    <t>施設清掃と設備点検･清掃の点検記録がある。</t>
  </si>
  <si>
    <r>
      <t>5)</t>
    </r>
    <r>
      <rPr>
        <sz val="9"/>
        <rFont val="ＭＳ Ｐゴシック"/>
        <family val="3"/>
        <charset val="128"/>
      </rPr>
      <t xml:space="preserve"> 実施</t>
    </r>
    <phoneticPr fontId="21"/>
  </si>
  <si>
    <t>施設清掃や設備点検･清掃の実施記録がある。</t>
  </si>
  <si>
    <r>
      <t>6)</t>
    </r>
    <r>
      <rPr>
        <sz val="9"/>
        <rFont val="ＭＳ Ｐゴシック"/>
        <family val="3"/>
        <charset val="128"/>
      </rPr>
      <t xml:space="preserve"> 共有</t>
    </r>
    <phoneticPr fontId="21"/>
  </si>
  <si>
    <t>施設清掃と設備点検･清掃の点検結果を共有する機会を設けている。</t>
  </si>
  <si>
    <t>Ⅱ 建築物衛生法における特定建築物に該当しない建築物の場合に評価する取組み</t>
  </si>
  <si>
    <t>評価内容</t>
    <phoneticPr fontId="21"/>
  </si>
  <si>
    <t>充分な長さのエントランスマットを設置している。(外部、内部含む5ｍ以上)</t>
    <phoneticPr fontId="21"/>
  </si>
  <si>
    <t>ある程度の長さのエントランスマットを設置している。</t>
    <phoneticPr fontId="21"/>
  </si>
  <si>
    <t>① 清掃業務において効果的な方法を採用している。</t>
    <phoneticPr fontId="21"/>
  </si>
  <si>
    <t>-</t>
    <phoneticPr fontId="21"/>
  </si>
  <si>
    <t>② 清掃業務において環境影響の少ない方法を採用している。</t>
    <phoneticPr fontId="21"/>
  </si>
  <si>
    <t>① トイレ、共用部、厨房、玄関マットは毎日、清掃を実施する事としている。</t>
    <phoneticPr fontId="21"/>
  </si>
  <si>
    <t>② 希釈をする洗浄剤の希釈方法を明記している。</t>
    <phoneticPr fontId="21"/>
  </si>
  <si>
    <r>
      <t>①</t>
    </r>
    <r>
      <rPr>
        <sz val="9"/>
        <rFont val="ＭＳ Ｐゴシック"/>
        <family val="3"/>
        <charset val="128"/>
      </rPr>
      <t xml:space="preserve"> 環境ラベル取得製品の採用。(エコマーク、グリーンマークなど)</t>
    </r>
    <phoneticPr fontId="21"/>
  </si>
  <si>
    <t>① 環境ラベル取得製品を採用している。（エコマーク、グリーンマークなど）</t>
    <phoneticPr fontId="21"/>
  </si>
  <si>
    <t>② 清掃用ケミカルのⅰ 床用保護剤、ⅱ 床用洗浄剤(カーペット含む)、ⅲ トイレ用洗浄剤、ⅳ ガラス用洗浄剤の4製品に関して、環境負荷と安全に配慮した製品を採用している。(判定表を参照)</t>
    <phoneticPr fontId="21"/>
  </si>
  <si>
    <t>② 清掃資材専用の保管スペースがある。</t>
    <phoneticPr fontId="21"/>
  </si>
  <si>
    <t>③ トイレ、共用部、厨房などの清掃に使用するケミカルの2種類以上についてMSDS（化学物質安全データシート）を保管している。</t>
    <phoneticPr fontId="21"/>
  </si>
  <si>
    <t>① トイレ清掃では除菌剤配合洗剤を使用している。</t>
    <phoneticPr fontId="21"/>
  </si>
  <si>
    <t>② 感染防止を考慮した嘔吐物の処理方法がある。</t>
    <phoneticPr fontId="21"/>
  </si>
  <si>
    <t>手袋、メガネ、マスクなどの保護具の着用を促している。</t>
    <phoneticPr fontId="21"/>
  </si>
  <si>
    <t>合計＝</t>
    <phoneticPr fontId="21"/>
  </si>
  <si>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</si>
  <si>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</si>
  <si>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</si>
  <si>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</si>
  <si>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1"/>
  </si>
  <si>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</si>
  <si>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</si>
  <si>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</si>
  <si>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</si>
  <si>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1"/>
  </si>
  <si>
    <t>延床面積500㎡以下の建築物は
レベル3とする。
注）500㎡以下の建物は直接入力により、レベル3を選択してください。</t>
    <phoneticPr fontId="21"/>
  </si>
  <si>
    <t>3つの設備管理業務の取り組みポイントで-１(ﾚﾍﾞﾙ2)の取り組みがひとつでもある場合</t>
    <phoneticPr fontId="21"/>
  </si>
  <si>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1"/>
  </si>
  <si>
    <t>主要機器は耐用年数以内である。</t>
    <phoneticPr fontId="21"/>
  </si>
  <si>
    <t>主要機器は耐用年数以内である。</t>
    <phoneticPr fontId="21"/>
  </si>
  <si>
    <t>全て耐用年数以内である。</t>
    <phoneticPr fontId="21"/>
  </si>
  <si>
    <t>「住宅に係るエネルギーの合理化に関する設計、施工及び維持保全の指針（平成25年国土交通省告示第907号）」に定められる</t>
    <phoneticPr fontId="21"/>
  </si>
  <si>
    <t>「一次エネルギー消費量に関する基準」を満たし、且つ日本住宅性能表示基準「5-1断熱等性能等級」における等級４を満たす場合はレベル４と評価することができる。</t>
    <phoneticPr fontId="21"/>
  </si>
  <si>
    <r>
      <t>3.2</t>
    </r>
    <r>
      <rPr>
        <b/>
        <sz val="12"/>
        <rFont val="ＭＳ Ｐゴシック"/>
        <family val="3"/>
        <charset val="128"/>
      </rPr>
      <t>　実績値を用いた総合評価</t>
    </r>
    <phoneticPr fontId="21"/>
  </si>
  <si>
    <t>[3.1a、3.1bによる設備システムの高効率化のスコア]が2.0点未満</t>
  </si>
  <si>
    <t>[3,1a、3.1bによる設備システムの高効率化のスコア]が2.0点以上</t>
  </si>
  <si>
    <t>スコア-1.0</t>
  </si>
  <si>
    <t>（１）によるスコア</t>
    <phoneticPr fontId="21"/>
  </si>
  <si>
    <t>加点あり</t>
    <rPh sb="0" eb="2">
      <t>カテン</t>
    </rPh>
    <phoneticPr fontId="21"/>
  </si>
  <si>
    <t>上下なし</t>
    <rPh sb="0" eb="2">
      <t>ジョウゲ</t>
    </rPh>
    <phoneticPr fontId="21"/>
  </si>
  <si>
    <t>減点あり</t>
    <rPh sb="0" eb="2">
      <t>ゲンテン</t>
    </rPh>
    <phoneticPr fontId="21"/>
  </si>
  <si>
    <t>1.0以上1.5未満</t>
  </si>
  <si>
    <t>1.5以上2.0未満</t>
  </si>
  <si>
    <t>2.0以上2.5未満</t>
  </si>
  <si>
    <t>2.5以上3.0未満</t>
  </si>
  <si>
    <t>3.0以上3.5未満</t>
  </si>
  <si>
    <t>3.5以上4.0未満</t>
  </si>
  <si>
    <t>レベル４を満たさない</t>
    <phoneticPr fontId="21"/>
  </si>
  <si>
    <t>LR1/3.2　実績値を用いた総合評価</t>
    <phoneticPr fontId="21"/>
  </si>
  <si>
    <t>(1)補正</t>
    <rPh sb="3" eb="5">
      <t>ホセイ</t>
    </rPh>
    <phoneticPr fontId="21"/>
  </si>
  <si>
    <t>(2)実測値</t>
    <rPh sb="3" eb="6">
      <t>ジッソクチ</t>
    </rPh>
    <phoneticPr fontId="21"/>
  </si>
  <si>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1"/>
  </si>
  <si>
    <t>重点項目スコア・結果シート</t>
  </si>
  <si>
    <t>■使用評価マニュアル：</t>
  </si>
  <si>
    <t>■評価ソフト：</t>
  </si>
  <si>
    <t>重点項目スコアは小数第２位を四捨五入</t>
    <rPh sb="0" eb="2">
      <t>ジュウテン</t>
    </rPh>
    <rPh sb="2" eb="4">
      <t>コウモク</t>
    </rPh>
    <rPh sb="8" eb="10">
      <t>ショウスウ</t>
    </rPh>
    <rPh sb="10" eb="11">
      <t>ダイ</t>
    </rPh>
    <rPh sb="12" eb="13">
      <t>イ</t>
    </rPh>
    <rPh sb="14" eb="18">
      <t>シシャゴニュウ</t>
    </rPh>
    <phoneticPr fontId="21"/>
  </si>
  <si>
    <t>重点項目</t>
  </si>
  <si>
    <t>評価</t>
    <phoneticPr fontId="21"/>
  </si>
  <si>
    <t>全体に対する重み係数</t>
  </si>
  <si>
    <t>重点項目
スコア</t>
  </si>
  <si>
    <t>１．温暖化対策</t>
  </si>
  <si>
    <t>Rank(Kanae)</t>
  </si>
  <si>
    <t>Rank(Blanc)</t>
  </si>
  <si>
    <t>エネルギー</t>
  </si>
  <si>
    <t>LR3.1</t>
  </si>
  <si>
    <t>地球温暖化への配慮</t>
  </si>
  <si>
    <t>LR3.2.2</t>
  </si>
  <si>
    <t>温熱環境悪化の改善</t>
  </si>
  <si>
    <t>２．自然共生</t>
  </si>
  <si>
    <t>Q3.1</t>
  </si>
  <si>
    <t>生物環境の保全と創出</t>
  </si>
  <si>
    <t>Q3.3.1</t>
    <phoneticPr fontId="21"/>
  </si>
  <si>
    <t>地域性への配慮、快適性の向上　</t>
    <rPh sb="12" eb="14">
      <t>コウジョウ</t>
    </rPh>
    <phoneticPr fontId="21"/>
  </si>
  <si>
    <t>地域性のある材料の使用※１</t>
    <rPh sb="0" eb="3">
      <t>チイキセイ</t>
    </rPh>
    <rPh sb="6" eb="8">
      <t>ザイリョウ</t>
    </rPh>
    <rPh sb="9" eb="11">
      <t>シヨウ</t>
    </rPh>
    <phoneticPr fontId="21"/>
  </si>
  <si>
    <t>Q3.2</t>
    <phoneticPr fontId="21"/>
  </si>
  <si>
    <t>Q3.3.2</t>
  </si>
  <si>
    <t>敷地内温熱環境の向上</t>
  </si>
  <si>
    <t>３．循環型社会</t>
  </si>
  <si>
    <t>LR2.1</t>
  </si>
  <si>
    <t>水資源保護</t>
    <phoneticPr fontId="21"/>
  </si>
  <si>
    <t>LR2.2</t>
  </si>
  <si>
    <t>非再生性資源の使用量削減</t>
    <phoneticPr fontId="21"/>
  </si>
  <si>
    <t>LR3.2.3</t>
  </si>
  <si>
    <t>地域インフラへの負荷抑制　※２</t>
    <phoneticPr fontId="21"/>
  </si>
  <si>
    <t>Q3.3.1　Score</t>
    <phoneticPr fontId="21"/>
  </si>
  <si>
    <t>結果</t>
  </si>
  <si>
    <t>評価点　＝</t>
    <phoneticPr fontId="21"/>
  </si>
  <si>
    <t>評価点　＝</t>
  </si>
  <si>
    <t>重点項目スコア</t>
    <rPh sb="0" eb="2">
      <t>ジュウテン</t>
    </rPh>
    <rPh sb="2" eb="4">
      <t>コウモク</t>
    </rPh>
    <phoneticPr fontId="21"/>
  </si>
  <si>
    <t>表示</t>
    <rPh sb="0" eb="2">
      <t>ヒョウジ</t>
    </rPh>
    <phoneticPr fontId="21"/>
  </si>
  <si>
    <t>1≦Ｘ＜1.5</t>
    <phoneticPr fontId="21"/>
  </si>
  <si>
    <t>☆</t>
    <phoneticPr fontId="21"/>
  </si>
  <si>
    <t>1.5≦Ｘ＜2.5</t>
    <phoneticPr fontId="21"/>
  </si>
  <si>
    <t>☆☆</t>
    <phoneticPr fontId="21"/>
  </si>
  <si>
    <t>2.5≦Ｘ＜3.5</t>
    <phoneticPr fontId="21"/>
  </si>
  <si>
    <t>☆☆☆</t>
    <phoneticPr fontId="21"/>
  </si>
  <si>
    <t>3.5≦Ｘ＜4.5</t>
    <phoneticPr fontId="21"/>
  </si>
  <si>
    <t>☆☆☆☆</t>
    <phoneticPr fontId="21"/>
  </si>
  <si>
    <t>4.5≦Ｘ</t>
    <phoneticPr fontId="21"/>
  </si>
  <si>
    <t>☆☆☆☆☆</t>
    <phoneticPr fontId="21"/>
  </si>
  <si>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)2014</t>
    </r>
    <r>
      <rPr>
        <sz val="9"/>
        <rFont val="ＭＳ Ｐゴシック"/>
        <family val="3"/>
        <charset val="128"/>
      </rPr>
      <t>年版、名古屋市建築物環境配慮制度運用マニュアル</t>
    </r>
    <r>
      <rPr>
        <sz val="9"/>
        <rFont val="Arial"/>
        <family val="2"/>
      </rPr>
      <t>2014</t>
    </r>
    <rPh sb="7" eb="9">
      <t>ケンチク</t>
    </rPh>
    <rPh sb="10" eb="12">
      <t>シンチク</t>
    </rPh>
    <rPh sb="17" eb="19">
      <t>ネンバン</t>
    </rPh>
    <rPh sb="20" eb="24">
      <t>ナゴヤシ</t>
    </rPh>
    <rPh sb="24" eb="26">
      <t>ケンチク</t>
    </rPh>
    <rPh sb="26" eb="27">
      <t>ブツ</t>
    </rPh>
    <rPh sb="27" eb="29">
      <t>カンキョウ</t>
    </rPh>
    <rPh sb="29" eb="31">
      <t>ハイリョ</t>
    </rPh>
    <rPh sb="31" eb="33">
      <t>セイド</t>
    </rPh>
    <rPh sb="33" eb="35">
      <t>ウンヨウ</t>
    </rPh>
    <phoneticPr fontId="21"/>
  </si>
  <si>
    <t>事・学・物・飲・会・病・ホ・住・工</t>
    <rPh sb="0" eb="1">
      <t>コト</t>
    </rPh>
    <rPh sb="2" eb="3">
      <t>ガク</t>
    </rPh>
    <rPh sb="4" eb="5">
      <t>ブツ</t>
    </rPh>
    <rPh sb="6" eb="7">
      <t>イン</t>
    </rPh>
    <rPh sb="8" eb="9">
      <t>カイ</t>
    </rPh>
    <rPh sb="10" eb="11">
      <t>ビョウ</t>
    </rPh>
    <rPh sb="14" eb="15">
      <t>ジュウ</t>
    </rPh>
    <rPh sb="16" eb="17">
      <t>コウ</t>
    </rPh>
    <phoneticPr fontId="21"/>
  </si>
  <si>
    <t>　レベル　1</t>
  </si>
  <si>
    <t>レベル３を満たさない。</t>
    <phoneticPr fontId="21"/>
  </si>
  <si>
    <t>愛知県人にやさしい街づくりの推進に関する条例を満たしている。</t>
    <rPh sb="0" eb="3">
      <t>アイチケン</t>
    </rPh>
    <rPh sb="3" eb="4">
      <t>ヒト</t>
    </rPh>
    <rPh sb="9" eb="10">
      <t>マチ</t>
    </rPh>
    <rPh sb="14" eb="16">
      <t>スイシン</t>
    </rPh>
    <rPh sb="17" eb="18">
      <t>カン</t>
    </rPh>
    <rPh sb="20" eb="22">
      <t>ジョウレイ</t>
    </rPh>
    <rPh sb="23" eb="24">
      <t>ミ</t>
    </rPh>
    <phoneticPr fontId="21"/>
  </si>
  <si>
    <t>愛知県人にやさしい街づくりの推進に関する条例を満たしており、さらにバリアフリー新法の建築物移動等円滑化誘導基準（望ましいレベル）を満たしている。</t>
    <phoneticPr fontId="21"/>
  </si>
  <si>
    <t>上記を超えてさらに十分な配慮を行っており、ユニバーサルなデザインとなっている。</t>
    <rPh sb="0" eb="2">
      <t>ジョウキ</t>
    </rPh>
    <phoneticPr fontId="21"/>
  </si>
  <si>
    <t>あいくる認定材（同表に記載されていないもの）</t>
    <rPh sb="4" eb="6">
      <t>ニンテイ</t>
    </rPh>
    <rPh sb="6" eb="7">
      <t>ザイ</t>
    </rPh>
    <rPh sb="8" eb="9">
      <t>ドウ</t>
    </rPh>
    <rPh sb="9" eb="10">
      <t>オモテ</t>
    </rPh>
    <rPh sb="11" eb="13">
      <t>キサイ</t>
    </rPh>
    <phoneticPr fontId="21"/>
  </si>
  <si>
    <t>第一種低層住居専用地域、第二種低層住居専用地域、
第一種中高層住居専用地域、第二種中高層住居専用地域</t>
    <rPh sb="0" eb="1">
      <t>ダイ</t>
    </rPh>
    <rPh sb="1" eb="3">
      <t>イッシュ</t>
    </rPh>
    <rPh sb="3" eb="5">
      <t>テイソウ</t>
    </rPh>
    <rPh sb="5" eb="7">
      <t>ジュウキョ</t>
    </rPh>
    <rPh sb="7" eb="9">
      <t>センヨウ</t>
    </rPh>
    <rPh sb="9" eb="11">
      <t>チイキ</t>
    </rPh>
    <rPh sb="12" eb="15">
      <t>ダイニシュ</t>
    </rPh>
    <rPh sb="15" eb="17">
      <t>テイソウ</t>
    </rPh>
    <rPh sb="17" eb="19">
      <t>ジュウキョ</t>
    </rPh>
    <rPh sb="19" eb="21">
      <t>センヨウ</t>
    </rPh>
    <rPh sb="21" eb="23">
      <t>チイキ</t>
    </rPh>
    <rPh sb="25" eb="26">
      <t>ダイ</t>
    </rPh>
    <rPh sb="26" eb="28">
      <t>イッシュ</t>
    </rPh>
    <rPh sb="28" eb="31">
      <t>チュウコウソウ</t>
    </rPh>
    <rPh sb="31" eb="33">
      <t>ジュウキョ</t>
    </rPh>
    <rPh sb="33" eb="35">
      <t>センヨウ</t>
    </rPh>
    <rPh sb="35" eb="37">
      <t>チイキ</t>
    </rPh>
    <rPh sb="38" eb="41">
      <t>ダイニシュ</t>
    </rPh>
    <rPh sb="41" eb="44">
      <t>チュウコウソウ</t>
    </rPh>
    <rPh sb="44" eb="46">
      <t>ジュウキョ</t>
    </rPh>
    <rPh sb="46" eb="48">
      <t>センヨウ</t>
    </rPh>
    <rPh sb="48" eb="50">
      <t>チイキ</t>
    </rPh>
    <phoneticPr fontId="21"/>
  </si>
  <si>
    <t>第一種住居地域、第二種住居地域、準住居地域</t>
    <rPh sb="0" eb="1">
      <t>ダイ</t>
    </rPh>
    <rPh sb="1" eb="3">
      <t>イッシュ</t>
    </rPh>
    <rPh sb="3" eb="5">
      <t>ジュウキョ</t>
    </rPh>
    <rPh sb="5" eb="7">
      <t>チイキ</t>
    </rPh>
    <rPh sb="8" eb="11">
      <t>ダイニシュ</t>
    </rPh>
    <rPh sb="11" eb="13">
      <t>ジュウキョ</t>
    </rPh>
    <rPh sb="13" eb="15">
      <t>チイキ</t>
    </rPh>
    <rPh sb="16" eb="17">
      <t>ジュン</t>
    </rPh>
    <rPh sb="17" eb="19">
      <t>ジュウキョ</t>
    </rPh>
    <rPh sb="19" eb="21">
      <t>チイキ</t>
    </rPh>
    <phoneticPr fontId="21"/>
  </si>
  <si>
    <t>50dB以下</t>
    <phoneticPr fontId="21"/>
  </si>
  <si>
    <t>40dB以下</t>
    <phoneticPr fontId="21"/>
  </si>
  <si>
    <t>35dB以下</t>
    <phoneticPr fontId="21"/>
  </si>
  <si>
    <t>30dB以下</t>
    <phoneticPr fontId="21"/>
  </si>
  <si>
    <t>近隣商業地域、商業地域、準工業地域</t>
    <rPh sb="0" eb="2">
      <t>キンリン</t>
    </rPh>
    <rPh sb="2" eb="4">
      <t>ショウギョウ</t>
    </rPh>
    <rPh sb="4" eb="6">
      <t>チイキ</t>
    </rPh>
    <rPh sb="7" eb="9">
      <t>ショウギョウ</t>
    </rPh>
    <rPh sb="9" eb="11">
      <t>チイキ</t>
    </rPh>
    <rPh sb="12" eb="13">
      <t>ジュン</t>
    </rPh>
    <rPh sb="13" eb="15">
      <t>コウギョウ</t>
    </rPh>
    <rPh sb="15" eb="17">
      <t>チイキ</t>
    </rPh>
    <phoneticPr fontId="21"/>
  </si>
  <si>
    <t>都市計画区域で用途地域の定められていない地域</t>
    <rPh sb="0" eb="2">
      <t>トシ</t>
    </rPh>
    <rPh sb="2" eb="4">
      <t>ケイカク</t>
    </rPh>
    <rPh sb="4" eb="6">
      <t>クイキ</t>
    </rPh>
    <rPh sb="7" eb="9">
      <t>ヨウト</t>
    </rPh>
    <rPh sb="9" eb="11">
      <t>チイキ</t>
    </rPh>
    <rPh sb="12" eb="13">
      <t>サダ</t>
    </rPh>
    <rPh sb="20" eb="22">
      <t>チイキ</t>
    </rPh>
    <phoneticPr fontId="21"/>
  </si>
  <si>
    <t>65dB以下</t>
    <phoneticPr fontId="21"/>
  </si>
  <si>
    <t>60dB以下</t>
    <phoneticPr fontId="21"/>
  </si>
  <si>
    <t>55dB以下</t>
    <phoneticPr fontId="21"/>
  </si>
  <si>
    <t>50dB以下</t>
    <phoneticPr fontId="21"/>
  </si>
  <si>
    <t>45dB以下</t>
    <phoneticPr fontId="21"/>
  </si>
  <si>
    <t>40dB以下</t>
    <phoneticPr fontId="21"/>
  </si>
  <si>
    <t>工業地域</t>
    <rPh sb="0" eb="2">
      <t>コウギョウ</t>
    </rPh>
    <rPh sb="2" eb="4">
      <t>チイキ</t>
    </rPh>
    <phoneticPr fontId="21"/>
  </si>
  <si>
    <t>工業専用地域</t>
    <rPh sb="0" eb="2">
      <t>コウギョウ</t>
    </rPh>
    <rPh sb="2" eb="4">
      <t>センヨウ</t>
    </rPh>
    <rPh sb="4" eb="6">
      <t>チイキ</t>
    </rPh>
    <phoneticPr fontId="21"/>
  </si>
  <si>
    <t>昼間</t>
    <phoneticPr fontId="21"/>
  </si>
  <si>
    <t>朝・夕</t>
    <phoneticPr fontId="21"/>
  </si>
  <si>
    <t>夜間</t>
    <phoneticPr fontId="21"/>
  </si>
  <si>
    <t>昼間</t>
    <phoneticPr fontId="21"/>
  </si>
  <si>
    <t>朝・夕</t>
    <phoneticPr fontId="21"/>
  </si>
  <si>
    <t>夜間</t>
    <phoneticPr fontId="21"/>
  </si>
  <si>
    <t>65dB以下</t>
    <phoneticPr fontId="21"/>
  </si>
  <si>
    <t>60dB以下</t>
    <phoneticPr fontId="21"/>
  </si>
  <si>
    <t>75dB以下</t>
    <phoneticPr fontId="21"/>
  </si>
  <si>
    <t>70dB以下</t>
    <phoneticPr fontId="21"/>
  </si>
  <si>
    <t>55dB以下</t>
    <phoneticPr fontId="21"/>
  </si>
  <si>
    <t>50dB以下</t>
    <phoneticPr fontId="21"/>
  </si>
  <si>
    <t>第一種低層住居専用地域、第二種低層住居専用地域、
第一種中高層住居専用地域、第二種中高層住居専用地域</t>
    <phoneticPr fontId="21"/>
  </si>
  <si>
    <t>第一種住居地域、第二種住居地域、準住居地域</t>
    <phoneticPr fontId="21"/>
  </si>
  <si>
    <t>55dB以下</t>
    <phoneticPr fontId="21"/>
  </si>
  <si>
    <t>50dB以下</t>
    <phoneticPr fontId="21"/>
  </si>
  <si>
    <t>第２種区域</t>
    <rPh sb="0" eb="1">
      <t>ダイ</t>
    </rPh>
    <rPh sb="2" eb="3">
      <t>シュ</t>
    </rPh>
    <rPh sb="3" eb="5">
      <t>クイキ</t>
    </rPh>
    <phoneticPr fontId="21"/>
  </si>
  <si>
    <t>近隣商業地域、商業地域、準工業地域、
都市計画区域で用途地域の定められていない地域</t>
    <rPh sb="0" eb="2">
      <t>キンリン</t>
    </rPh>
    <rPh sb="2" eb="4">
      <t>ショウギョウ</t>
    </rPh>
    <rPh sb="4" eb="6">
      <t>チイキ</t>
    </rPh>
    <rPh sb="7" eb="9">
      <t>ショウギョウ</t>
    </rPh>
    <rPh sb="9" eb="11">
      <t>チイキ</t>
    </rPh>
    <rPh sb="12" eb="13">
      <t>ジュン</t>
    </rPh>
    <rPh sb="13" eb="15">
      <t>コウギョウ</t>
    </rPh>
    <rPh sb="15" eb="17">
      <t>チイキ</t>
    </rPh>
    <phoneticPr fontId="21"/>
  </si>
  <si>
    <t>昼間</t>
    <phoneticPr fontId="21"/>
  </si>
  <si>
    <t>夜間</t>
    <phoneticPr fontId="21"/>
  </si>
  <si>
    <t>65dB以下</t>
    <phoneticPr fontId="21"/>
  </si>
  <si>
    <t>60dB以下</t>
    <phoneticPr fontId="21"/>
  </si>
  <si>
    <t>70dB以下</t>
    <phoneticPr fontId="21"/>
  </si>
  <si>
    <t>75dB以下</t>
    <phoneticPr fontId="21"/>
  </si>
  <si>
    <t>55dB以下</t>
    <phoneticPr fontId="21"/>
  </si>
  <si>
    <t>CASBEE_Nagoya_2014(v.1.22)</t>
    <phoneticPr fontId="21"/>
  </si>
  <si>
    <t>名古屋市○○</t>
    <rPh sb="0" eb="4">
      <t>ナゴヤシ</t>
    </rPh>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</si>
</sst>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176" formatCode="0;0;&quot;&quot;"/>
    <numFmt numFmtId="177" formatCode="0.0_ "/>
    <numFmt numFmtId="178" formatCode="0.00_ "/>
    <numFmt numFmtId="179" formatCode="0.00_);[Red]\(0.00\)"/>
    <numFmt numFmtId="180" formatCode="0.00;0.00;&quot;適用外&quot;"/>
    <numFmt numFmtId="181" formatCode=";;&quot;&quot;"/>
    <numFmt numFmtId="182" formatCode="0;0;&quot;－&quot;"/>
    <numFmt numFmtId="183" formatCode="#,##0_ "/>
    <numFmt numFmtId="184" formatCode="0.0"/>
    <numFmt numFmtId="185" formatCode="0.0;0.0;&quot;-&quot;\ "/>
    <numFmt numFmtId="186" formatCode="0.00;0.00;&quot;-&quot;\ "/>
    <numFmt numFmtId="187" formatCode="0.0;0.0;&quot;－&quot;"/>
    <numFmt numFmtId="188" formatCode="#,##0.0;[Red]\-#,##0.0"/>
    <numFmt numFmtId="189" formatCode="0.00;0.00;&quot;－&quot;"/>
    <numFmt numFmtId="190" formatCode="0.000_ "/>
    <numFmt numFmtId="191" formatCode="0.000_);[Red]\(0.000\)"/>
    <numFmt numFmtId="192" formatCode="0_ "/>
    <numFmt numFmtId="193" formatCode="#,###&quot;㎡&quot;"/>
    <numFmt numFmtId="194" formatCode="&quot;レベル &quot;#"/>
    <numFmt numFmtId="195" formatCode="#&quot;ポイント&quot;"/>
    <numFmt numFmtId="196" formatCode="#&quot;点&quot;"/>
    <numFmt numFmtId="197" formatCode="0.00;0.00;&quot;&quot;\ "/>
    <numFmt numFmtId="198" formatCode="0.00;0.00;&quot;-&quot;"/>
    <numFmt numFmtId="199" formatCode="&quot;レベル &quot;#.0"/>
    <numFmt numFmtId="200" formatCode="&quot;レベル &quot;#0.0"/>
    <numFmt numFmtId="201" formatCode="&quot;レベル &quot;#.0;0.0;&quot;レベル&quot;"/>
    <numFmt numFmtId="202" formatCode="0.00;0.00;&quot;対象外&quot;"/>
    <numFmt numFmtId="203" formatCode="&quot;レベル &quot;#0.0;0.00;&quot;対象外&quot;"/>
    <numFmt numFmtId="204" formatCode="0.0;_Ā"/>
    <numFmt numFmtId="205" formatCode="0.000;_Ā"/>
    <numFmt numFmtId="206" formatCode="#&quot; ポイント&quot;;0.0;&quot;0 ポイント&quot;"/>
    <numFmt numFmtId="207" formatCode="#&quot; ポイント&quot;;\-#&quot; ポイント&quot;;&quot;0 ポイント&quot;"/>
    <numFmt numFmtId="208" formatCode="#&quot; ポイント&quot;;;0&quot; ポイント&quot;"/>
    <numFmt numFmtId="209" formatCode="&quot;レベル &quot;#;0;&quot;レベル&quot;"/>
    <numFmt numFmtId="210" formatCode="0.0000"/>
    <numFmt numFmtId="211" formatCode="#&quot;年&quot;"/>
    <numFmt numFmtId="212" formatCode="#,##0.000;[Red]\-#,##0.000"/>
    <numFmt numFmtId="213" formatCode="0.0000_ "/>
    <numFmt numFmtId="214" formatCode="0.0_);[Red]\(0.0\)"/>
    <numFmt numFmtId="215" formatCode="0.000000_ "/>
    <numFmt numFmtId="216" formatCode="General;General;"/>
    <numFmt numFmtId="217" formatCode="0.0;\-0.0&quot; ポイント&quot;;&quot;0 ポイント&quot;"/>
    <numFmt numFmtId="218" formatCode="0.00000_ "/>
    <numFmt numFmtId="219" formatCode="&quot;レベル &quot;#0.0;&quot;対象外&quot;"/>
    <numFmt numFmtId="220" formatCode="0.000"/>
    <numFmt numFmtId="221" formatCode="&quot;レベル &quot;#.00;0.00;&quot;レベル&quot;"/>
    <numFmt numFmtId="222" formatCode="#,##0_);[Red]\(#,##0\)"/>
    <numFmt numFmtId="223" formatCode="0.0;0.0;&quot;-&quot;"/>
  </numFmts>
  <fonts count="172">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b/>
      <i/>
      <sz val="9"/>
      <name val="ＭＳ Ｐ明朝"/>
      <family val="1"/>
      <charset val="128"/>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sz val="11"/>
      <color indexed="23"/>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b/>
      <sz val="12"/>
      <color theme="0"/>
      <name val="ＭＳ Ｐゴシック"/>
      <family val="3"/>
      <charset val="128"/>
    </font>
    <font>
      <b/>
      <sz val="11"/>
      <color theme="0"/>
      <name val="ＭＳ Ｐゴシック"/>
      <family val="3"/>
      <charset val="128"/>
    </font>
    <font>
      <sz val="7"/>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theme="1"/>
        <bgColor indexed="64"/>
      </patternFill>
    </fill>
  </fills>
  <borders count="2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hair">
        <color indexed="64"/>
      </right>
      <top/>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bottom style="medium">
        <color indexed="64"/>
      </bottom>
      <diagonal style="thin">
        <color indexed="64"/>
      </diagonal>
    </border>
    <border>
      <left style="thin">
        <color indexed="64"/>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style="medium">
        <color indexed="64"/>
      </right>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top/>
      <bottom style="hair">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xf numFmtId="0" fontId="6" fillId="0" borderId="0"/>
    <xf numFmtId="0" fontId="19" fillId="0" borderId="0"/>
    <xf numFmtId="0" fontId="20" fillId="4" borderId="0" applyNumberFormat="0" applyBorder="0" applyAlignment="0" applyProtection="0">
      <alignment vertical="center"/>
    </xf>
  </cellStyleXfs>
  <cellXfs count="3371">
    <xf numFmtId="0" fontId="0" fillId="0" borderId="0" xfId="0">
      <alignment vertical="center"/>
    </xf>
    <xf numFmtId="0" fontId="0" fillId="0" borderId="10" xfId="0" applyBorder="1">
      <alignment vertical="center"/>
    </xf>
    <xf numFmtId="0" fontId="0" fillId="0" borderId="15" xfId="0" applyBorder="1">
      <alignment vertical="center"/>
    </xf>
    <xf numFmtId="0" fontId="6" fillId="27" borderId="0" xfId="0" applyFont="1" applyFill="1" applyProtection="1">
      <alignment vertical="center"/>
    </xf>
    <xf numFmtId="0" fontId="11" fillId="27" borderId="0" xfId="0" applyFont="1" applyFill="1" applyAlignment="1" applyProtection="1">
      <alignment vertical="center"/>
    </xf>
    <xf numFmtId="0" fontId="24"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center"/>
      <protection hidden="1"/>
    </xf>
    <xf numFmtId="0" fontId="24"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6" fillId="27" borderId="0" xfId="0" applyFont="1" applyFill="1" applyBorder="1" applyAlignment="1">
      <alignment horizontal="left" vertical="center"/>
    </xf>
    <xf numFmtId="0" fontId="27"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8" fillId="27" borderId="0" xfId="0" applyFont="1" applyFill="1" applyBorder="1" applyAlignment="1">
      <alignment horizontal="left" vertical="center"/>
    </xf>
    <xf numFmtId="0" fontId="29" fillId="27" borderId="0" xfId="0" applyFont="1" applyFill="1" applyBorder="1" applyAlignment="1">
      <alignment horizontal="left" vertical="center"/>
    </xf>
    <xf numFmtId="0" fontId="30"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1" fillId="28" borderId="21" xfId="0" applyFont="1" applyFill="1" applyBorder="1" applyAlignment="1" applyProtection="1">
      <alignment vertical="center"/>
      <protection hidden="1"/>
    </xf>
    <xf numFmtId="0" fontId="32" fillId="28" borderId="22" xfId="0" applyFont="1" applyFill="1" applyBorder="1" applyAlignment="1" applyProtection="1">
      <alignment vertical="center"/>
      <protection hidden="1"/>
    </xf>
    <xf numFmtId="0" fontId="32" fillId="28" borderId="23" xfId="0" applyFont="1" applyFill="1" applyBorder="1" applyAlignment="1" applyProtection="1">
      <alignment vertical="center"/>
      <protection hidden="1"/>
    </xf>
    <xf numFmtId="0" fontId="31" fillId="28" borderId="24" xfId="0" applyFont="1" applyFill="1" applyBorder="1" applyAlignment="1" applyProtection="1">
      <alignment vertical="center"/>
      <protection hidden="1"/>
    </xf>
    <xf numFmtId="0" fontId="32" fillId="28" borderId="0" xfId="0" applyFont="1" applyFill="1" applyBorder="1" applyAlignment="1" applyProtection="1">
      <alignment vertical="center"/>
      <protection hidden="1"/>
    </xf>
    <xf numFmtId="0" fontId="32" fillId="28" borderId="25" xfId="0" applyFont="1" applyFill="1" applyBorder="1" applyAlignment="1" applyProtection="1">
      <alignment vertical="center"/>
      <protection hidden="1"/>
    </xf>
    <xf numFmtId="0" fontId="0" fillId="27" borderId="0" xfId="0" applyFill="1" applyProtection="1">
      <alignment vertical="center"/>
    </xf>
    <xf numFmtId="49" fontId="33" fillId="27" borderId="24" xfId="0" applyNumberFormat="1" applyFont="1" applyFill="1" applyBorder="1" applyAlignment="1" applyProtection="1">
      <protection hidden="1"/>
    </xf>
    <xf numFmtId="0" fontId="33" fillId="0" borderId="10" xfId="0" applyFont="1" applyFill="1" applyBorder="1" applyAlignment="1" applyProtection="1">
      <alignment horizontal="right" vertical="center"/>
      <protection locked="0"/>
    </xf>
    <xf numFmtId="179" fontId="6" fillId="27" borderId="0" xfId="0" applyNumberFormat="1" applyFont="1" applyFill="1" applyBorder="1" applyAlignment="1" applyProtection="1">
      <alignment horizontal="right" vertical="center"/>
    </xf>
    <xf numFmtId="179" fontId="6" fillId="27" borderId="25" xfId="0" applyNumberFormat="1" applyFont="1" applyFill="1" applyBorder="1" applyAlignment="1" applyProtection="1">
      <alignment horizontal="right" vertical="center"/>
    </xf>
    <xf numFmtId="0" fontId="33" fillId="27" borderId="24" xfId="0" applyFont="1" applyFill="1" applyBorder="1" applyAlignment="1" applyProtection="1">
      <protection hidden="1"/>
    </xf>
    <xf numFmtId="0" fontId="33" fillId="0" borderId="26"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5" fillId="0" borderId="28" xfId="0" applyFont="1" applyFill="1" applyBorder="1" applyAlignment="1" applyProtection="1">
      <alignment horizontal="center" vertical="center"/>
      <protection locked="0"/>
    </xf>
    <xf numFmtId="55" fontId="33" fillId="0" borderId="10" xfId="0" applyNumberFormat="1" applyFont="1" applyFill="1" applyBorder="1" applyAlignment="1" applyProtection="1">
      <alignment horizontal="right" vertical="center"/>
      <protection locked="0"/>
    </xf>
    <xf numFmtId="0" fontId="35" fillId="0" borderId="25" xfId="0" applyFont="1" applyFill="1" applyBorder="1" applyAlignment="1" applyProtection="1">
      <alignment horizontal="center" vertical="center"/>
      <protection locked="0"/>
    </xf>
    <xf numFmtId="179" fontId="33" fillId="0" borderId="10" xfId="35" applyNumberFormat="1" applyFont="1" applyFill="1" applyBorder="1" applyAlignment="1" applyProtection="1">
      <alignment horizontal="right" vertical="center"/>
      <protection locked="0"/>
    </xf>
    <xf numFmtId="0" fontId="28" fillId="27" borderId="0" xfId="0" applyFont="1" applyFill="1" applyBorder="1" applyAlignment="1" applyProtection="1">
      <alignment horizontal="left" vertical="center"/>
      <protection hidden="1"/>
    </xf>
    <xf numFmtId="40" fontId="6" fillId="27" borderId="10" xfId="35" applyNumberFormat="1" applyFont="1" applyFill="1" applyBorder="1" applyAlignment="1" applyProtection="1">
      <alignment horizontal="right" vertical="center"/>
    </xf>
    <xf numFmtId="0" fontId="33" fillId="27" borderId="24" xfId="0" applyFont="1" applyFill="1" applyBorder="1" applyAlignment="1" applyProtection="1">
      <alignment horizontal="left"/>
      <protection hidden="1"/>
    </xf>
    <xf numFmtId="183"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protection hidden="1"/>
    </xf>
    <xf numFmtId="0" fontId="33" fillId="27" borderId="25" xfId="0" applyFont="1" applyFill="1" applyBorder="1" applyAlignment="1" applyProtection="1">
      <protection hidden="1"/>
    </xf>
    <xf numFmtId="0" fontId="0" fillId="27" borderId="0" xfId="0" applyFill="1" applyAlignment="1" applyProtection="1"/>
    <xf numFmtId="0" fontId="31" fillId="28" borderId="29" xfId="0" applyFont="1" applyFill="1" applyBorder="1" applyAlignment="1" applyProtection="1">
      <alignment vertical="center"/>
      <protection hidden="1"/>
    </xf>
    <xf numFmtId="0" fontId="32" fillId="28" borderId="19" xfId="0" applyFont="1" applyFill="1" applyBorder="1" applyAlignment="1" applyProtection="1">
      <alignment vertical="center"/>
      <protection hidden="1"/>
    </xf>
    <xf numFmtId="0" fontId="32" fillId="28" borderId="20" xfId="0" applyFont="1" applyFill="1" applyBorder="1" applyAlignment="1" applyProtection="1">
      <alignment vertical="center"/>
      <protection hidden="1"/>
    </xf>
    <xf numFmtId="0" fontId="37" fillId="27" borderId="24" xfId="0" applyFont="1" applyFill="1" applyBorder="1" applyAlignment="1" applyProtection="1">
      <alignment vertical="center"/>
      <protection hidden="1"/>
    </xf>
    <xf numFmtId="31"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alignment vertical="center"/>
    </xf>
    <xf numFmtId="0" fontId="37" fillId="27" borderId="30" xfId="0" applyFont="1" applyFill="1" applyBorder="1" applyAlignment="1" applyProtection="1">
      <alignment vertical="center"/>
      <protection hidden="1"/>
    </xf>
    <xf numFmtId="0" fontId="35" fillId="0" borderId="31" xfId="0" applyFont="1" applyFill="1" applyBorder="1" applyAlignment="1" applyProtection="1">
      <alignment horizontal="right" vertical="center"/>
      <protection locked="0"/>
    </xf>
    <xf numFmtId="0" fontId="38"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3" fillId="27" borderId="0" xfId="0" applyFont="1" applyFill="1" applyProtection="1">
      <alignment vertical="center"/>
    </xf>
    <xf numFmtId="0" fontId="33" fillId="27" borderId="19" xfId="0" applyFont="1" applyFill="1" applyBorder="1" applyAlignment="1" applyProtection="1">
      <alignment horizontal="left" vertical="top" wrapText="1"/>
      <protection hidden="1"/>
    </xf>
    <xf numFmtId="0" fontId="30" fillId="0" borderId="34" xfId="0" applyFont="1" applyFill="1" applyBorder="1" applyAlignment="1" applyProtection="1">
      <alignment vertical="center"/>
      <protection hidden="1"/>
    </xf>
    <xf numFmtId="0" fontId="30" fillId="0" borderId="35" xfId="0" applyFont="1" applyFill="1" applyBorder="1" applyAlignment="1" applyProtection="1">
      <alignment vertical="center"/>
      <protection hidden="1"/>
    </xf>
    <xf numFmtId="0" fontId="30" fillId="0" borderId="36" xfId="0" applyFont="1" applyFill="1" applyBorder="1" applyAlignment="1" applyProtection="1">
      <alignment vertical="center"/>
      <protection hidden="1"/>
    </xf>
    <xf numFmtId="0" fontId="31" fillId="28" borderId="24" xfId="0" applyFont="1" applyFill="1" applyBorder="1" applyAlignment="1" applyProtection="1">
      <alignment horizontal="center" vertical="center"/>
      <protection hidden="1"/>
    </xf>
    <xf numFmtId="0" fontId="31" fillId="28" borderId="37" xfId="0" applyFont="1" applyFill="1" applyBorder="1" applyAlignment="1" applyProtection="1">
      <alignment horizontal="center" vertical="center"/>
      <protection hidden="1"/>
    </xf>
    <xf numFmtId="0" fontId="31" fillId="28" borderId="25" xfId="0" applyFont="1" applyFill="1" applyBorder="1" applyAlignment="1" applyProtection="1">
      <alignment horizontal="center" vertical="center"/>
      <protection hidden="1"/>
    </xf>
    <xf numFmtId="0" fontId="33" fillId="27" borderId="18" xfId="0" applyFont="1" applyFill="1" applyBorder="1" applyAlignment="1" applyProtection="1">
      <alignment vertical="center"/>
      <protection hidden="1"/>
    </xf>
    <xf numFmtId="179" fontId="6" fillId="0" borderId="10" xfId="35" applyNumberFormat="1" applyFont="1" applyFill="1" applyBorder="1" applyAlignment="1" applyProtection="1">
      <alignment horizontal="right" vertical="center"/>
      <protection locked="0"/>
    </xf>
    <xf numFmtId="0" fontId="33" fillId="27" borderId="24" xfId="0" applyFont="1" applyFill="1" applyBorder="1" applyAlignment="1" applyProtection="1">
      <alignment vertical="center"/>
      <protection hidden="1"/>
    </xf>
    <xf numFmtId="0" fontId="33" fillId="27" borderId="24" xfId="0" applyFont="1" applyFill="1" applyBorder="1" applyProtection="1">
      <alignment vertical="center"/>
      <protection hidden="1"/>
    </xf>
    <xf numFmtId="0" fontId="33" fillId="27" borderId="0" xfId="0" applyFont="1" applyFill="1" applyBorder="1" applyProtection="1">
      <alignment vertical="center"/>
      <protection hidden="1"/>
    </xf>
    <xf numFmtId="0" fontId="6" fillId="0" borderId="28" xfId="0" applyFont="1" applyFill="1" applyBorder="1" applyAlignment="1" applyProtection="1">
      <alignment horizontal="center" vertical="center"/>
      <protection locked="0"/>
    </xf>
    <xf numFmtId="0" fontId="33" fillId="27" borderId="30" xfId="0" applyFont="1" applyFill="1" applyBorder="1" applyProtection="1">
      <alignment vertical="center"/>
      <protection hidden="1"/>
    </xf>
    <xf numFmtId="0" fontId="33" fillId="27" borderId="32" xfId="0" applyFont="1" applyFill="1" applyBorder="1" applyProtection="1">
      <alignment vertical="center"/>
      <protection hidden="1"/>
    </xf>
    <xf numFmtId="0" fontId="33" fillId="27" borderId="33" xfId="0" applyFont="1" applyFill="1" applyBorder="1" applyProtection="1">
      <alignment vertical="center"/>
      <protection hidden="1"/>
    </xf>
    <xf numFmtId="0" fontId="30" fillId="0" borderId="29" xfId="0" applyFont="1" applyBorder="1" applyAlignment="1" applyProtection="1">
      <alignment vertical="center"/>
      <protection hidden="1"/>
    </xf>
    <xf numFmtId="0" fontId="41" fillId="0" borderId="38" xfId="0" applyFont="1" applyFill="1" applyBorder="1" applyAlignment="1" applyProtection="1">
      <alignment horizontal="left" vertical="center" indent="1"/>
      <protection hidden="1"/>
    </xf>
    <xf numFmtId="0" fontId="41" fillId="0" borderId="38" xfId="0" applyFont="1" applyFill="1" applyBorder="1" applyAlignment="1" applyProtection="1">
      <alignment horizontal="right" vertical="center"/>
      <protection hidden="1"/>
    </xf>
    <xf numFmtId="0" fontId="41" fillId="0" borderId="39" xfId="0" applyFont="1" applyFill="1" applyBorder="1" applyAlignment="1" applyProtection="1">
      <alignment horizontal="right" vertical="center"/>
      <protection hidden="1"/>
    </xf>
    <xf numFmtId="0" fontId="31" fillId="28" borderId="40" xfId="0" applyFont="1" applyFill="1" applyBorder="1" applyAlignment="1" applyProtection="1">
      <alignment vertical="center"/>
      <protection hidden="1"/>
    </xf>
    <xf numFmtId="0" fontId="42"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1" fillId="28" borderId="44" xfId="0" applyFont="1" applyFill="1" applyBorder="1" applyAlignment="1" applyProtection="1">
      <alignment vertical="center"/>
      <protection hidden="1"/>
    </xf>
    <xf numFmtId="0" fontId="42" fillId="27" borderId="45" xfId="29" applyFont="1" applyFill="1" applyBorder="1" applyAlignment="1" applyProtection="1">
      <alignment horizontal="left" vertical="center" indent="1"/>
      <protection hidden="1"/>
    </xf>
    <xf numFmtId="0" fontId="42"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2" fillId="27" borderId="47" xfId="29" applyFont="1" applyFill="1" applyBorder="1" applyAlignment="1" applyProtection="1">
      <alignment horizontal="left" vertical="center" indent="1"/>
      <protection hidden="1"/>
    </xf>
    <xf numFmtId="0" fontId="42"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10" xfId="0" applyFont="1" applyFill="1" applyBorder="1" applyAlignment="1" applyProtection="1">
      <alignment horizontal="left" vertical="top"/>
    </xf>
    <xf numFmtId="0" fontId="33" fillId="27" borderId="26" xfId="0" applyFont="1" applyFill="1" applyBorder="1" applyAlignment="1" applyProtection="1">
      <alignment horizontal="left" vertical="top"/>
      <protection hidden="1"/>
    </xf>
    <xf numFmtId="0" fontId="32" fillId="27" borderId="50" xfId="0" applyFont="1" applyFill="1" applyBorder="1" applyAlignment="1" applyProtection="1">
      <alignment horizontal="left" vertical="top"/>
      <protection hidden="1"/>
    </xf>
    <xf numFmtId="0" fontId="33" fillId="27" borderId="27" xfId="0" applyFont="1" applyFill="1" applyBorder="1" applyAlignment="1" applyProtection="1">
      <alignment horizontal="left" vertical="top"/>
    </xf>
    <xf numFmtId="0" fontId="33" fillId="27" borderId="51" xfId="0" applyFont="1" applyFill="1" applyBorder="1" applyAlignment="1" applyProtection="1">
      <alignment horizontal="left" vertical="top"/>
      <protection hidden="1"/>
    </xf>
    <xf numFmtId="0" fontId="33" fillId="27" borderId="52" xfId="0" applyFont="1" applyFill="1" applyBorder="1" applyAlignment="1" applyProtection="1">
      <alignment horizontal="left" vertical="top"/>
      <protection hidden="1"/>
    </xf>
    <xf numFmtId="0" fontId="33" fillId="27" borderId="53" xfId="0" applyFont="1" applyFill="1" applyBorder="1" applyAlignment="1" applyProtection="1">
      <alignment horizontal="left" vertical="top"/>
      <protection hidden="1"/>
    </xf>
    <xf numFmtId="0" fontId="33" fillId="27" borderId="54" xfId="0" applyFont="1" applyFill="1" applyBorder="1" applyAlignment="1" applyProtection="1">
      <alignment horizontal="left" vertical="top"/>
    </xf>
    <xf numFmtId="0" fontId="33" fillId="27" borderId="0" xfId="0" applyFont="1" applyFill="1" applyBorder="1" applyAlignment="1" applyProtection="1">
      <alignment horizontal="left" vertical="top"/>
    </xf>
    <xf numFmtId="0" fontId="33" fillId="27" borderId="11" xfId="0" applyFont="1" applyFill="1" applyBorder="1" applyAlignment="1" applyProtection="1">
      <alignment horizontal="left" vertical="top"/>
      <protection hidden="1"/>
    </xf>
    <xf numFmtId="0" fontId="33" fillId="27" borderId="12" xfId="0" applyFont="1" applyFill="1" applyBorder="1" applyAlignment="1" applyProtection="1">
      <alignment horizontal="left" vertical="top"/>
      <protection hidden="1"/>
    </xf>
    <xf numFmtId="0" fontId="33" fillId="27" borderId="13" xfId="0" applyFont="1" applyFill="1" applyBorder="1" applyAlignment="1" applyProtection="1">
      <alignment horizontal="left" vertical="top"/>
      <protection hidden="1"/>
    </xf>
    <xf numFmtId="0" fontId="33" fillId="27" borderId="14" xfId="0" applyFont="1" applyFill="1" applyBorder="1" applyAlignment="1" applyProtection="1">
      <alignment horizontal="left" vertical="top"/>
    </xf>
    <xf numFmtId="0" fontId="43" fillId="27" borderId="13" xfId="0" applyFont="1" applyFill="1" applyBorder="1" applyAlignment="1" applyProtection="1">
      <alignment horizontal="left" vertical="top"/>
      <protection hidden="1"/>
    </xf>
    <xf numFmtId="0" fontId="33" fillId="27" borderId="55" xfId="0" applyFont="1" applyFill="1" applyBorder="1" applyAlignment="1" applyProtection="1">
      <alignment horizontal="left" vertical="top"/>
      <protection hidden="1"/>
    </xf>
    <xf numFmtId="0" fontId="33" fillId="27" borderId="56" xfId="0" applyFont="1" applyFill="1" applyBorder="1" applyAlignment="1" applyProtection="1">
      <alignment horizontal="left" vertical="top"/>
      <protection hidden="1"/>
    </xf>
    <xf numFmtId="0" fontId="43" fillId="27" borderId="57" xfId="0" applyFont="1" applyFill="1" applyBorder="1" applyAlignment="1" applyProtection="1">
      <alignment horizontal="left" vertical="top"/>
      <protection hidden="1"/>
    </xf>
    <xf numFmtId="0" fontId="33" fillId="27" borderId="58" xfId="0" applyFont="1" applyFill="1" applyBorder="1" applyAlignment="1" applyProtection="1">
      <alignment horizontal="left" vertical="top"/>
    </xf>
    <xf numFmtId="0" fontId="0" fillId="0" borderId="0" xfId="0" applyProtection="1">
      <alignment vertical="center"/>
    </xf>
    <xf numFmtId="0" fontId="44" fillId="30" borderId="59" xfId="0" applyFont="1" applyFill="1" applyBorder="1" applyAlignment="1" applyProtection="1">
      <alignment vertical="center"/>
    </xf>
    <xf numFmtId="0" fontId="32" fillId="30" borderId="60" xfId="45" applyFont="1" applyFill="1" applyBorder="1" applyAlignment="1" applyProtection="1">
      <alignment vertical="center"/>
      <protection hidden="1"/>
    </xf>
    <xf numFmtId="0" fontId="32" fillId="30" borderId="60" xfId="45" applyFont="1" applyFill="1" applyBorder="1" applyAlignment="1" applyProtection="1">
      <alignment horizontal="left" vertical="center"/>
      <protection hidden="1"/>
    </xf>
    <xf numFmtId="0" fontId="32" fillId="30" borderId="61" xfId="45" applyFont="1" applyFill="1" applyBorder="1" applyAlignment="1" applyProtection="1">
      <alignment vertical="center"/>
      <protection hidden="1"/>
    </xf>
    <xf numFmtId="0" fontId="45" fillId="0" borderId="0" xfId="0" applyFont="1" applyProtection="1">
      <alignment vertical="center"/>
    </xf>
    <xf numFmtId="0" fontId="6" fillId="27" borderId="62" xfId="45" applyFont="1" applyFill="1" applyBorder="1" applyAlignment="1" applyProtection="1"/>
    <xf numFmtId="0" fontId="6" fillId="27" borderId="0" xfId="45" applyNumberFormat="1" applyFont="1" applyFill="1" applyBorder="1" applyAlignment="1" applyProtection="1">
      <alignment vertical="center"/>
      <protection hidden="1"/>
    </xf>
    <xf numFmtId="0" fontId="6" fillId="27" borderId="0" xfId="45" applyFont="1" applyFill="1" applyBorder="1" applyAlignment="1" applyProtection="1">
      <alignment horizontal="left" vertical="center"/>
      <protection hidden="1"/>
    </xf>
    <xf numFmtId="0" fontId="6" fillId="27" borderId="0" xfId="45" applyFont="1" applyFill="1" applyBorder="1" applyAlignment="1" applyProtection="1">
      <alignment vertical="center"/>
      <protection hidden="1"/>
    </xf>
    <xf numFmtId="0" fontId="6" fillId="27" borderId="63" xfId="0" applyFont="1" applyFill="1" applyBorder="1" applyProtection="1">
      <alignment vertical="center"/>
    </xf>
    <xf numFmtId="0" fontId="6" fillId="27" borderId="52" xfId="0" applyFont="1" applyFill="1" applyBorder="1" applyProtection="1">
      <alignment vertical="center"/>
    </xf>
    <xf numFmtId="0" fontId="6"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6" fillId="27" borderId="62" xfId="45" applyFont="1" applyFill="1" applyBorder="1" applyAlignment="1" applyProtection="1">
      <alignment vertical="center"/>
    </xf>
    <xf numFmtId="0" fontId="1" fillId="31" borderId="51" xfId="0" applyFont="1" applyFill="1" applyBorder="1" applyAlignment="1">
      <alignment horizontal="center" vertical="center" wrapText="1"/>
    </xf>
    <xf numFmtId="0" fontId="6" fillId="27" borderId="0" xfId="0" applyFont="1" applyFill="1" applyBorder="1">
      <alignment vertical="center"/>
    </xf>
    <xf numFmtId="0" fontId="6" fillId="27" borderId="63" xfId="0" applyFont="1" applyFill="1" applyBorder="1">
      <alignment vertical="center"/>
    </xf>
    <xf numFmtId="0" fontId="6" fillId="27" borderId="64" xfId="0" applyFont="1" applyFill="1" applyBorder="1">
      <alignment vertical="center"/>
    </xf>
    <xf numFmtId="0" fontId="0" fillId="27" borderId="17" xfId="0" applyFill="1" applyBorder="1">
      <alignment vertical="center"/>
    </xf>
    <xf numFmtId="216" fontId="6" fillId="27" borderId="26" xfId="45" applyNumberFormat="1" applyFont="1" applyFill="1" applyBorder="1" applyAlignment="1" applyProtection="1">
      <alignment vertical="center" shrinkToFit="1"/>
      <protection hidden="1"/>
    </xf>
    <xf numFmtId="0" fontId="6" fillId="27" borderId="10" xfId="35" applyNumberFormat="1" applyFont="1" applyFill="1" applyBorder="1" applyAlignment="1" applyProtection="1">
      <alignment horizontal="right" vertical="center" shrinkToFit="1"/>
    </xf>
    <xf numFmtId="0" fontId="6" fillId="27" borderId="10" xfId="45" applyFont="1" applyFill="1" applyBorder="1" applyAlignment="1" applyProtection="1">
      <alignment vertical="center"/>
      <protection hidden="1"/>
    </xf>
    <xf numFmtId="215" fontId="6" fillId="27" borderId="10" xfId="45" applyNumberFormat="1" applyFont="1" applyFill="1" applyBorder="1" applyAlignment="1" applyProtection="1">
      <alignment vertical="center"/>
      <protection hidden="1"/>
    </xf>
    <xf numFmtId="0" fontId="6" fillId="27" borderId="17" xfId="0" applyFont="1" applyFill="1" applyBorder="1">
      <alignment vertical="center"/>
    </xf>
    <xf numFmtId="0" fontId="6" fillId="27" borderId="0" xfId="0" applyFont="1" applyFill="1" applyBorder="1" applyAlignment="1">
      <alignment vertical="center"/>
    </xf>
    <xf numFmtId="0" fontId="1" fillId="31" borderId="10" xfId="0" applyFont="1" applyFill="1" applyBorder="1" applyAlignment="1">
      <alignment horizontal="center" vertical="center" wrapText="1"/>
    </xf>
    <xf numFmtId="0" fontId="6" fillId="27" borderId="26" xfId="45" applyFont="1" applyFill="1" applyBorder="1" applyAlignment="1" applyProtection="1">
      <alignment vertical="center"/>
      <protection locked="0"/>
    </xf>
    <xf numFmtId="0" fontId="6" fillId="27" borderId="10" xfId="45" applyFont="1" applyFill="1" applyBorder="1" applyAlignment="1" applyProtection="1">
      <alignment vertical="center"/>
      <protection locked="0"/>
    </xf>
    <xf numFmtId="0" fontId="6" fillId="27" borderId="62" xfId="45" applyFont="1" applyFill="1" applyBorder="1" applyAlignment="1" applyProtection="1">
      <alignment horizontal="right" vertical="top"/>
    </xf>
    <xf numFmtId="0" fontId="0" fillId="27" borderId="0" xfId="0" applyFill="1" applyBorder="1">
      <alignment vertical="center"/>
    </xf>
    <xf numFmtId="0" fontId="1" fillId="27" borderId="10" xfId="0" applyFont="1" applyFill="1" applyBorder="1" applyAlignment="1">
      <alignment horizontal="center" vertical="center" wrapText="1"/>
    </xf>
    <xf numFmtId="0" fontId="6" fillId="27" borderId="10" xfId="45" applyFont="1" applyFill="1" applyBorder="1" applyAlignment="1" applyProtection="1">
      <alignment vertical="center"/>
    </xf>
    <xf numFmtId="0" fontId="6" fillId="27" borderId="62" xfId="0" applyFont="1" applyFill="1" applyBorder="1">
      <alignment vertical="center"/>
    </xf>
    <xf numFmtId="0" fontId="6" fillId="27" borderId="10" xfId="45" applyFont="1" applyFill="1" applyBorder="1" applyAlignment="1" applyProtection="1">
      <alignment horizontal="center" vertical="center"/>
      <protection hidden="1"/>
    </xf>
    <xf numFmtId="0" fontId="6" fillId="27" borderId="65" xfId="0" applyFont="1" applyFill="1" applyBorder="1">
      <alignment vertical="center"/>
    </xf>
    <xf numFmtId="0" fontId="6" fillId="27" borderId="66" xfId="0" applyFont="1" applyFill="1" applyBorder="1">
      <alignment vertical="center"/>
    </xf>
    <xf numFmtId="0" fontId="6" fillId="27" borderId="67" xfId="0" applyFont="1" applyFill="1" applyBorder="1">
      <alignment vertical="center"/>
    </xf>
    <xf numFmtId="0" fontId="6" fillId="27" borderId="56" xfId="0" applyFont="1" applyFill="1" applyBorder="1">
      <alignment vertical="center"/>
    </xf>
    <xf numFmtId="0" fontId="6" fillId="27" borderId="57" xfId="0" applyFont="1" applyFill="1" applyBorder="1">
      <alignment vertical="center"/>
    </xf>
    <xf numFmtId="0" fontId="6" fillId="27" borderId="58" xfId="0" applyFont="1" applyFill="1" applyBorder="1">
      <alignment vertical="center"/>
    </xf>
    <xf numFmtId="0" fontId="6" fillId="0" borderId="0" xfId="0" applyFont="1">
      <alignment vertical="center"/>
    </xf>
    <xf numFmtId="0" fontId="0" fillId="0" borderId="0" xfId="0" applyAlignment="1">
      <alignment horizontal="right" vertical="center"/>
    </xf>
    <xf numFmtId="0" fontId="46" fillId="0" borderId="0" xfId="0" applyFont="1" applyFill="1" applyProtection="1">
      <alignment vertical="center"/>
      <protection hidden="1"/>
    </xf>
    <xf numFmtId="0" fontId="46"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left" vertical="center"/>
      <protection hidden="1"/>
    </xf>
    <xf numFmtId="0" fontId="46" fillId="0" borderId="0" xfId="0" applyFont="1" applyFill="1" applyBorder="1" applyAlignment="1" applyProtection="1">
      <alignment horizontal="right" vertical="center"/>
      <protection hidden="1"/>
    </xf>
    <xf numFmtId="0" fontId="46" fillId="0" borderId="0" xfId="0" applyFont="1" applyFill="1" applyBorder="1" applyAlignment="1" applyProtection="1">
      <alignment vertical="center"/>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14" fontId="49" fillId="0" borderId="0" xfId="0" applyNumberFormat="1" applyFont="1" applyFill="1" applyBorder="1" applyAlignment="1" applyProtection="1">
      <alignment horizontal="center" vertical="center"/>
      <protection hidden="1"/>
    </xf>
    <xf numFmtId="0" fontId="50" fillId="0" borderId="0" xfId="0" applyFont="1" applyFill="1" applyBorder="1" applyProtection="1">
      <alignment vertical="center"/>
      <protection hidden="1"/>
    </xf>
    <xf numFmtId="178" fontId="50" fillId="0" borderId="0" xfId="0" applyNumberFormat="1" applyFont="1" applyFill="1" applyBorder="1" applyProtection="1">
      <alignment vertical="center"/>
      <protection hidden="1"/>
    </xf>
    <xf numFmtId="0" fontId="49" fillId="0" borderId="0" xfId="0" applyFont="1" applyFill="1" applyProtection="1">
      <alignment vertical="center"/>
      <protection hidden="1"/>
    </xf>
    <xf numFmtId="0" fontId="26" fillId="0" borderId="0" xfId="0" applyFont="1" applyFill="1" applyBorder="1" applyAlignment="1" applyProtection="1">
      <protection hidden="1"/>
    </xf>
    <xf numFmtId="0" fontId="51" fillId="0" borderId="0" xfId="0" applyFont="1" applyFill="1" applyBorder="1" applyAlignment="1" applyProtection="1">
      <alignment horizontal="left" vertical="center"/>
      <protection hidden="1"/>
    </xf>
    <xf numFmtId="0" fontId="52" fillId="0" borderId="0" xfId="0" applyFont="1" applyFill="1" applyBorder="1" applyAlignment="1" applyProtection="1">
      <alignment horizontal="right" vertical="center"/>
      <protection hidden="1"/>
    </xf>
    <xf numFmtId="0" fontId="52" fillId="0" borderId="0" xfId="0" applyFont="1" applyFill="1" applyBorder="1" applyAlignment="1" applyProtection="1">
      <alignment vertical="center"/>
      <protection hidden="1"/>
    </xf>
    <xf numFmtId="0" fontId="53" fillId="0" borderId="0" xfId="0" applyFont="1" applyFill="1" applyBorder="1" applyAlignment="1" applyProtection="1">
      <alignment vertical="center"/>
      <protection hidden="1"/>
    </xf>
    <xf numFmtId="0" fontId="54" fillId="0" borderId="0" xfId="0" applyFont="1" applyFill="1" applyBorder="1" applyAlignment="1" applyProtection="1">
      <alignment vertical="center"/>
      <protection hidden="1"/>
    </xf>
    <xf numFmtId="0" fontId="55"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56" fillId="0" borderId="0" xfId="0" applyNumberFormat="1" applyFont="1" applyFill="1" applyBorder="1" applyProtection="1">
      <alignment vertical="center"/>
      <protection hidden="1"/>
    </xf>
    <xf numFmtId="0" fontId="56" fillId="0" borderId="0" xfId="0" applyFont="1" applyFill="1" applyBorder="1" applyProtection="1">
      <alignment vertical="center"/>
      <protection hidden="1"/>
    </xf>
    <xf numFmtId="0" fontId="29" fillId="0" borderId="0" xfId="0" applyFont="1" applyFill="1" applyBorder="1" applyAlignment="1" applyProtection="1">
      <alignment horizontal="left" vertical="center"/>
      <protection hidden="1"/>
    </xf>
    <xf numFmtId="0" fontId="55" fillId="0" borderId="0" xfId="0" applyFont="1" applyFill="1" applyBorder="1" applyAlignment="1" applyProtection="1">
      <alignment horizontal="right" vertical="center"/>
      <protection hidden="1"/>
    </xf>
    <xf numFmtId="0" fontId="57" fillId="0" borderId="0" xfId="0" applyFont="1" applyFill="1" applyBorder="1" applyAlignment="1" applyProtection="1">
      <alignment horizontal="left" vertical="top"/>
      <protection hidden="1"/>
    </xf>
    <xf numFmtId="0" fontId="52" fillId="0" borderId="0" xfId="0" applyFont="1" applyFill="1" applyBorder="1" applyAlignment="1" applyProtection="1">
      <alignment horizontal="left" vertical="center"/>
      <protection hidden="1"/>
    </xf>
    <xf numFmtId="0" fontId="54" fillId="0" borderId="0" xfId="0" applyFont="1" applyBorder="1" applyAlignment="1" applyProtection="1">
      <alignment horizontal="center" vertical="center"/>
      <protection hidden="1"/>
    </xf>
    <xf numFmtId="0" fontId="28" fillId="0" borderId="0" xfId="0" applyFont="1" applyFill="1" applyBorder="1" applyAlignment="1" applyProtection="1">
      <alignment horizontal="right" vertical="top"/>
      <protection hidden="1"/>
    </xf>
    <xf numFmtId="0" fontId="58" fillId="0" borderId="0" xfId="0" applyFont="1" applyFill="1" applyBorder="1" applyAlignment="1" applyProtection="1">
      <alignment vertical="center"/>
      <protection hidden="1"/>
    </xf>
    <xf numFmtId="0" fontId="59" fillId="0" borderId="0" xfId="0" applyFont="1" applyFill="1" applyBorder="1" applyAlignment="1" applyProtection="1">
      <alignment horizontal="left" vertical="center"/>
      <protection hidden="1"/>
    </xf>
    <xf numFmtId="0" fontId="59" fillId="0" borderId="0" xfId="0" applyFont="1" applyFill="1" applyBorder="1" applyAlignment="1" applyProtection="1">
      <alignment horizontal="right" vertical="center"/>
      <protection hidden="1"/>
    </xf>
    <xf numFmtId="0" fontId="59" fillId="0" borderId="0" xfId="0" applyFont="1" applyFill="1" applyBorder="1" applyAlignment="1" applyProtection="1">
      <alignment vertical="center"/>
      <protection hidden="1"/>
    </xf>
    <xf numFmtId="0" fontId="60" fillId="0" borderId="0" xfId="0" applyFont="1" applyFill="1" applyBorder="1" applyAlignment="1" applyProtection="1">
      <alignment vertical="center"/>
      <protection hidden="1"/>
    </xf>
    <xf numFmtId="0" fontId="60" fillId="0" borderId="0" xfId="0" applyFont="1" applyFill="1" applyBorder="1" applyAlignment="1" applyProtection="1">
      <alignment horizontal="center" vertical="center"/>
      <protection hidden="1"/>
    </xf>
    <xf numFmtId="0" fontId="61" fillId="0" borderId="0" xfId="0" applyFont="1" applyFill="1" applyBorder="1" applyAlignment="1" applyProtection="1">
      <alignment horizontal="center" vertical="center"/>
      <protection hidden="1"/>
    </xf>
    <xf numFmtId="0" fontId="63" fillId="30" borderId="68" xfId="0" applyFont="1" applyFill="1" applyBorder="1" applyAlignment="1" applyProtection="1">
      <alignment horizontal="left" vertical="center"/>
      <protection hidden="1"/>
    </xf>
    <xf numFmtId="0" fontId="63" fillId="30" borderId="69" xfId="0" applyFont="1" applyFill="1" applyBorder="1" applyAlignment="1" applyProtection="1">
      <alignment horizontal="left" vertical="center"/>
      <protection hidden="1"/>
    </xf>
    <xf numFmtId="0" fontId="64" fillId="30" borderId="69" xfId="0" applyFont="1" applyFill="1" applyBorder="1" applyAlignment="1" applyProtection="1">
      <alignment horizontal="right" vertical="top"/>
      <protection hidden="1"/>
    </xf>
    <xf numFmtId="0" fontId="56" fillId="30" borderId="70" xfId="0" applyFont="1" applyFill="1" applyBorder="1" applyProtection="1">
      <alignment vertical="center"/>
      <protection hidden="1"/>
    </xf>
    <xf numFmtId="0" fontId="56" fillId="30" borderId="60" xfId="0" applyFont="1" applyFill="1" applyBorder="1" applyProtection="1">
      <alignment vertical="center"/>
      <protection hidden="1"/>
    </xf>
    <xf numFmtId="56" fontId="63" fillId="30" borderId="70" xfId="0" applyNumberFormat="1" applyFont="1" applyFill="1" applyBorder="1" applyProtection="1">
      <alignment vertical="center"/>
      <protection hidden="1"/>
    </xf>
    <xf numFmtId="0" fontId="63" fillId="30" borderId="71" xfId="0" applyFont="1" applyFill="1" applyBorder="1" applyAlignment="1" applyProtection="1">
      <alignment horizontal="left" vertical="center"/>
      <protection hidden="1"/>
    </xf>
    <xf numFmtId="0" fontId="65" fillId="0" borderId="0" xfId="0" applyFont="1" applyFill="1" applyBorder="1" applyProtection="1">
      <alignment vertical="center"/>
      <protection hidden="1"/>
    </xf>
    <xf numFmtId="49" fontId="33" fillId="0" borderId="72" xfId="0" applyNumberFormat="1" applyFont="1" applyFill="1" applyBorder="1" applyAlignment="1" applyProtection="1">
      <alignment horizontal="left" vertical="center"/>
      <protection hidden="1"/>
    </xf>
    <xf numFmtId="3" fontId="27" fillId="0" borderId="73" xfId="0" applyNumberFormat="1" applyFont="1" applyFill="1" applyBorder="1" applyAlignment="1" applyProtection="1">
      <alignment horizontal="left" vertical="center"/>
      <protection hidden="1"/>
    </xf>
    <xf numFmtId="3" fontId="33" fillId="0" borderId="74" xfId="0" applyNumberFormat="1" applyFont="1" applyFill="1" applyBorder="1" applyAlignment="1" applyProtection="1">
      <alignment vertical="center"/>
      <protection hidden="1"/>
    </xf>
    <xf numFmtId="0" fontId="56" fillId="0" borderId="75" xfId="0" applyFont="1" applyFill="1" applyBorder="1" applyProtection="1">
      <alignment vertical="center"/>
      <protection hidden="1"/>
    </xf>
    <xf numFmtId="0" fontId="33" fillId="0" borderId="62" xfId="0" applyFont="1" applyFill="1" applyBorder="1" applyAlignment="1" applyProtection="1">
      <alignment horizontal="left" vertical="center"/>
      <protection hidden="1"/>
    </xf>
    <xf numFmtId="0" fontId="34" fillId="0" borderId="0" xfId="0" applyFont="1" applyFill="1" applyBorder="1" applyAlignment="1" applyProtection="1">
      <alignment horizontal="left" vertical="center"/>
      <protection hidden="1"/>
    </xf>
    <xf numFmtId="0" fontId="33" fillId="0" borderId="76" xfId="0" quotePrefix="1" applyFont="1" applyFill="1" applyBorder="1" applyAlignment="1" applyProtection="1">
      <alignment horizontal="left" vertical="center"/>
      <protection hidden="1"/>
    </xf>
    <xf numFmtId="2" fontId="34" fillId="0" borderId="0" xfId="0" applyNumberFormat="1" applyFont="1" applyFill="1" applyBorder="1" applyAlignment="1" applyProtection="1">
      <alignment horizontal="left" vertical="center"/>
      <protection hidden="1"/>
    </xf>
    <xf numFmtId="0" fontId="66" fillId="0" borderId="59" xfId="0" applyFont="1" applyFill="1" applyBorder="1" applyAlignment="1" applyProtection="1">
      <alignment vertical="center"/>
      <protection hidden="1"/>
    </xf>
    <xf numFmtId="0" fontId="66" fillId="0" borderId="0" xfId="0" applyFont="1" applyFill="1" applyBorder="1" applyAlignment="1" applyProtection="1">
      <alignment vertical="center"/>
      <protection hidden="1"/>
    </xf>
    <xf numFmtId="0" fontId="66" fillId="0" borderId="63" xfId="0" applyFont="1" applyFill="1" applyBorder="1" applyAlignment="1" applyProtection="1">
      <alignment vertical="center"/>
      <protection hidden="1"/>
    </xf>
    <xf numFmtId="0" fontId="56" fillId="0" borderId="10" xfId="0" applyFont="1" applyFill="1" applyBorder="1" applyProtection="1">
      <alignment vertical="center"/>
      <protection hidden="1"/>
    </xf>
    <xf numFmtId="0" fontId="6" fillId="0" borderId="10" xfId="0" applyNumberFormat="1" applyFont="1" applyFill="1" applyBorder="1" applyProtection="1">
      <alignment vertical="center"/>
      <protection hidden="1"/>
    </xf>
    <xf numFmtId="0" fontId="67" fillId="0" borderId="10" xfId="0" applyFont="1" applyFill="1" applyBorder="1" applyProtection="1">
      <alignment vertical="center"/>
      <protection hidden="1"/>
    </xf>
    <xf numFmtId="0" fontId="49" fillId="0" borderId="10" xfId="0" applyNumberFormat="1" applyFont="1" applyFill="1" applyBorder="1" applyProtection="1">
      <alignment vertical="center"/>
      <protection hidden="1"/>
    </xf>
    <xf numFmtId="0" fontId="56" fillId="0" borderId="10" xfId="0" applyNumberFormat="1" applyFont="1" applyFill="1" applyBorder="1" applyProtection="1">
      <alignment vertical="center"/>
      <protection hidden="1"/>
    </xf>
    <xf numFmtId="0" fontId="33" fillId="0" borderId="62" xfId="0" applyFont="1" applyFill="1" applyBorder="1" applyAlignment="1" applyProtection="1">
      <alignment vertical="center"/>
      <protection hidden="1"/>
    </xf>
    <xf numFmtId="3" fontId="27" fillId="0" borderId="0" xfId="0" applyNumberFormat="1" applyFont="1" applyFill="1" applyBorder="1" applyAlignment="1" applyProtection="1">
      <alignment horizontal="left" vertical="center"/>
      <protection hidden="1"/>
    </xf>
    <xf numFmtId="3" fontId="33" fillId="0" borderId="76" xfId="0" applyNumberFormat="1" applyFont="1" applyFill="1" applyBorder="1" applyAlignment="1" applyProtection="1">
      <alignment vertical="center"/>
      <protection hidden="1"/>
    </xf>
    <xf numFmtId="3" fontId="33" fillId="0" borderId="0" xfId="0" applyNumberFormat="1" applyFont="1" applyFill="1" applyBorder="1" applyAlignment="1" applyProtection="1">
      <alignment horizontal="left" vertical="center"/>
      <protection hidden="1"/>
    </xf>
    <xf numFmtId="0" fontId="33" fillId="0" borderId="77" xfId="0" applyFont="1" applyFill="1" applyBorder="1" applyAlignment="1" applyProtection="1">
      <alignment horizontal="left" vertical="center"/>
      <protection hidden="1"/>
    </xf>
    <xf numFmtId="0" fontId="34" fillId="0" borderId="57" xfId="0" applyFont="1" applyFill="1" applyBorder="1" applyAlignment="1" applyProtection="1">
      <alignment horizontal="left" vertical="center"/>
      <protection hidden="1"/>
    </xf>
    <xf numFmtId="0" fontId="33" fillId="0" borderId="78" xfId="0" applyFont="1" applyFill="1" applyBorder="1" applyAlignment="1" applyProtection="1">
      <alignment horizontal="left" vertical="center"/>
      <protection hidden="1"/>
    </xf>
    <xf numFmtId="3" fontId="34" fillId="0" borderId="79" xfId="0" applyNumberFormat="1" applyFont="1" applyFill="1" applyBorder="1" applyAlignment="1" applyProtection="1">
      <alignment horizontal="left" vertical="center"/>
      <protection hidden="1"/>
    </xf>
    <xf numFmtId="0" fontId="56" fillId="0" borderId="62" xfId="0" applyFont="1" applyFill="1" applyBorder="1" applyProtection="1">
      <alignment vertical="center"/>
      <protection hidden="1"/>
    </xf>
    <xf numFmtId="0" fontId="56" fillId="0" borderId="63" xfId="0" applyFont="1" applyFill="1" applyBorder="1" applyProtection="1">
      <alignment vertical="center"/>
      <protection hidden="1"/>
    </xf>
    <xf numFmtId="0" fontId="49" fillId="0" borderId="10" xfId="0" applyFont="1" applyFill="1" applyBorder="1" applyProtection="1">
      <alignment vertical="center"/>
      <protection hidden="1"/>
    </xf>
    <xf numFmtId="0" fontId="49" fillId="0" borderId="10" xfId="35" applyNumberFormat="1" applyFont="1" applyFill="1" applyBorder="1" applyAlignment="1" applyProtection="1">
      <protection hidden="1"/>
    </xf>
    <xf numFmtId="3" fontId="34" fillId="0" borderId="0" xfId="0" applyNumberFormat="1" applyFont="1" applyFill="1" applyBorder="1" applyAlignment="1" applyProtection="1">
      <alignment horizontal="left" vertical="center"/>
      <protection hidden="1"/>
    </xf>
    <xf numFmtId="183" fontId="33" fillId="0" borderId="76" xfId="0" applyNumberFormat="1" applyFont="1" applyFill="1" applyBorder="1" applyAlignment="1" applyProtection="1">
      <alignment horizontal="right" vertical="center"/>
      <protection hidden="1"/>
    </xf>
    <xf numFmtId="0" fontId="56" fillId="0" borderId="62" xfId="0" applyFont="1" applyFill="1" applyBorder="1" applyProtection="1">
      <alignment vertical="center"/>
      <protection locked="0"/>
    </xf>
    <xf numFmtId="0" fontId="56" fillId="0" borderId="0" xfId="0" applyFont="1" applyFill="1" applyBorder="1" applyProtection="1">
      <alignment vertical="center"/>
      <protection locked="0"/>
    </xf>
    <xf numFmtId="0" fontId="56" fillId="0" borderId="63" xfId="0" applyFont="1" applyFill="1" applyBorder="1" applyProtection="1">
      <alignment vertical="center"/>
      <protection locked="0"/>
    </xf>
    <xf numFmtId="0" fontId="49" fillId="0" borderId="10" xfId="0" applyNumberFormat="1" applyFont="1" applyFill="1" applyBorder="1" applyAlignment="1" applyProtection="1">
      <alignment horizontal="left" vertical="center" wrapText="1"/>
      <protection hidden="1"/>
    </xf>
    <xf numFmtId="0" fontId="33" fillId="0" borderId="77" xfId="0" applyFont="1" applyFill="1" applyBorder="1" applyAlignment="1" applyProtection="1">
      <alignment vertical="center"/>
      <protection hidden="1"/>
    </xf>
    <xf numFmtId="3" fontId="27" fillId="0" borderId="57" xfId="0" applyNumberFormat="1" applyFont="1" applyFill="1" applyBorder="1" applyAlignment="1" applyProtection="1">
      <alignment horizontal="left" vertical="center"/>
      <protection hidden="1"/>
    </xf>
    <xf numFmtId="0" fontId="33" fillId="0" borderId="78" xfId="0" applyNumberFormat="1" applyFont="1" applyFill="1" applyBorder="1" applyAlignment="1" applyProtection="1">
      <alignment horizontal="left" vertical="center"/>
      <protection hidden="1"/>
    </xf>
    <xf numFmtId="3" fontId="33" fillId="0" borderId="57" xfId="0" applyNumberFormat="1" applyFont="1" applyFill="1" applyBorder="1" applyAlignment="1" applyProtection="1">
      <alignment horizontal="left" vertical="center"/>
      <protection hidden="1"/>
    </xf>
    <xf numFmtId="0" fontId="56" fillId="0" borderId="79" xfId="0" applyFont="1" applyFill="1" applyBorder="1" applyProtection="1">
      <alignment vertical="center"/>
      <protection hidden="1"/>
    </xf>
    <xf numFmtId="183" fontId="33" fillId="0" borderId="78" xfId="0" applyNumberFormat="1" applyFont="1" applyFill="1" applyBorder="1" applyAlignment="1" applyProtection="1">
      <alignment horizontal="right" vertical="center"/>
      <protection hidden="1"/>
    </xf>
    <xf numFmtId="37" fontId="33" fillId="0" borderId="79"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vertical="center" wrapText="1"/>
      <protection hidden="1"/>
    </xf>
    <xf numFmtId="49" fontId="33" fillId="0" borderId="80" xfId="0" applyNumberFormat="1" applyFont="1" applyFill="1" applyBorder="1" applyAlignment="1" applyProtection="1">
      <alignment horizontal="left" vertical="center"/>
      <protection hidden="1"/>
    </xf>
    <xf numFmtId="3" fontId="27" fillId="0" borderId="50" xfId="0" applyNumberFormat="1" applyFont="1" applyFill="1" applyBorder="1" applyAlignment="1" applyProtection="1">
      <alignment horizontal="left" vertical="center"/>
      <protection hidden="1"/>
    </xf>
    <xf numFmtId="3" fontId="33" fillId="0" borderId="81" xfId="0" applyNumberFormat="1" applyFont="1" applyFill="1" applyBorder="1" applyAlignment="1" applyProtection="1">
      <alignment vertical="center"/>
      <protection hidden="1"/>
    </xf>
    <xf numFmtId="0" fontId="56" fillId="0" borderId="82" xfId="0" applyFont="1" applyFill="1" applyBorder="1" applyProtection="1">
      <alignment vertical="center"/>
      <protection hidden="1"/>
    </xf>
    <xf numFmtId="0" fontId="34" fillId="0" borderId="57" xfId="0" applyFont="1" applyFill="1" applyBorder="1" applyProtection="1">
      <alignment vertical="center"/>
      <protection hidden="1"/>
    </xf>
    <xf numFmtId="0" fontId="34" fillId="0" borderId="79" xfId="0" applyFont="1" applyFill="1" applyBorder="1" applyProtection="1">
      <alignment vertical="center"/>
      <protection hidden="1"/>
    </xf>
    <xf numFmtId="3" fontId="68" fillId="0" borderId="0" xfId="0" applyNumberFormat="1" applyFont="1" applyFill="1" applyBorder="1" applyAlignment="1" applyProtection="1">
      <alignment horizontal="left" vertical="center"/>
      <protection locked="0"/>
    </xf>
    <xf numFmtId="0" fontId="33" fillId="0" borderId="80" xfId="0" applyFont="1" applyFill="1" applyBorder="1" applyAlignment="1" applyProtection="1">
      <alignment vertical="center"/>
      <protection hidden="1"/>
    </xf>
    <xf numFmtId="2" fontId="34" fillId="0" borderId="50" xfId="0" applyNumberFormat="1" applyFont="1" applyFill="1" applyBorder="1" applyAlignment="1" applyProtection="1">
      <alignment horizontal="left" vertical="center"/>
      <protection hidden="1"/>
    </xf>
    <xf numFmtId="184" fontId="33" fillId="0" borderId="50" xfId="0" applyNumberFormat="1" applyFont="1" applyFill="1" applyBorder="1" applyAlignment="1" applyProtection="1">
      <alignment horizontal="left" vertical="center"/>
      <protection hidden="1"/>
    </xf>
    <xf numFmtId="0" fontId="69" fillId="0" borderId="0" xfId="0" applyFont="1" applyFill="1" applyBorder="1" applyProtection="1">
      <alignment vertical="center"/>
      <protection hidden="1"/>
    </xf>
    <xf numFmtId="31" fontId="33" fillId="0" borderId="76" xfId="0" applyNumberFormat="1" applyFont="1" applyFill="1" applyBorder="1" applyAlignment="1" applyProtection="1">
      <alignment horizontal="left" vertical="center" shrinkToFit="1"/>
      <protection hidden="1"/>
    </xf>
    <xf numFmtId="0" fontId="34" fillId="0" borderId="0"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188" fontId="71" fillId="0" borderId="10" xfId="35" applyNumberFormat="1" applyFont="1" applyFill="1" applyBorder="1" applyAlignment="1" applyProtection="1">
      <alignment horizontal="center" vertical="center"/>
      <protection hidden="1"/>
    </xf>
    <xf numFmtId="37" fontId="34" fillId="0" borderId="0" xfId="0" applyNumberFormat="1" applyFont="1" applyFill="1" applyBorder="1" applyAlignment="1" applyProtection="1">
      <alignment horizontal="left" vertical="center"/>
      <protection hidden="1"/>
    </xf>
    <xf numFmtId="0" fontId="56" fillId="0" borderId="76" xfId="0" applyFont="1" applyFill="1" applyBorder="1" applyProtection="1">
      <alignment vertical="center"/>
      <protection hidden="1"/>
    </xf>
    <xf numFmtId="3" fontId="33" fillId="0" borderId="0" xfId="0" applyNumberFormat="1" applyFont="1" applyFill="1" applyBorder="1" applyAlignment="1" applyProtection="1">
      <alignment horizontal="right" vertical="center"/>
      <protection hidden="1"/>
    </xf>
    <xf numFmtId="184" fontId="33" fillId="0" borderId="0" xfId="0" applyNumberFormat="1" applyFont="1" applyFill="1" applyBorder="1" applyAlignment="1" applyProtection="1">
      <alignment horizontal="left" vertical="center"/>
      <protection hidden="1"/>
    </xf>
    <xf numFmtId="14" fontId="33" fillId="0" borderId="76" xfId="0" applyNumberFormat="1" applyFont="1" applyFill="1" applyBorder="1" applyAlignment="1" applyProtection="1">
      <alignment horizontal="left" vertical="center"/>
      <protection hidden="1"/>
    </xf>
    <xf numFmtId="188" fontId="71" fillId="0" borderId="0" xfId="35" applyNumberFormat="1" applyFont="1" applyFill="1" applyBorder="1" applyAlignment="1" applyProtection="1">
      <alignment horizontal="center" vertical="center"/>
      <protection hidden="1"/>
    </xf>
    <xf numFmtId="188" fontId="0" fillId="0" borderId="10" xfId="0" applyNumberFormat="1" applyFill="1" applyBorder="1" applyProtection="1">
      <alignment vertical="center"/>
      <protection hidden="1"/>
    </xf>
    <xf numFmtId="0" fontId="49" fillId="0" borderId="0" xfId="0" applyNumberFormat="1" applyFont="1" applyFill="1" applyBorder="1" applyProtection="1">
      <alignment vertical="center"/>
      <protection hidden="1"/>
    </xf>
    <xf numFmtId="37" fontId="33" fillId="0" borderId="0" xfId="0" applyNumberFormat="1" applyFont="1" applyFill="1" applyBorder="1" applyAlignment="1" applyProtection="1">
      <alignment horizontal="right" vertical="center"/>
      <protection hidden="1"/>
    </xf>
    <xf numFmtId="0" fontId="33" fillId="0" borderId="0" xfId="0" applyFont="1" applyFill="1" applyBorder="1" applyAlignment="1" applyProtection="1">
      <alignment horizontal="left" vertical="center"/>
      <protection hidden="1"/>
    </xf>
    <xf numFmtId="0" fontId="56" fillId="0" borderId="65" xfId="0" applyFont="1" applyFill="1" applyBorder="1" applyProtection="1">
      <alignment vertical="center"/>
      <protection locked="0"/>
    </xf>
    <xf numFmtId="0" fontId="56" fillId="0" borderId="66" xfId="0" applyFont="1" applyFill="1" applyBorder="1" applyProtection="1">
      <alignment vertical="center"/>
      <protection locked="0"/>
    </xf>
    <xf numFmtId="0" fontId="56" fillId="0" borderId="67" xfId="0" applyFont="1" applyFill="1" applyBorder="1" applyProtection="1">
      <alignment vertical="center"/>
      <protection locked="0"/>
    </xf>
    <xf numFmtId="188" fontId="49" fillId="0" borderId="10" xfId="0" applyNumberFormat="1" applyFont="1" applyFill="1" applyBorder="1" applyProtection="1">
      <alignment vertical="center"/>
      <protection hidden="1"/>
    </xf>
    <xf numFmtId="0" fontId="6" fillId="0" borderId="0" xfId="0" applyNumberFormat="1" applyFont="1" applyFill="1" applyBorder="1" applyProtection="1">
      <alignment vertical="center"/>
      <protection hidden="1"/>
    </xf>
    <xf numFmtId="3" fontId="72" fillId="0" borderId="62" xfId="0" applyNumberFormat="1" applyFont="1" applyFill="1" applyBorder="1" applyAlignment="1" applyProtection="1">
      <alignment horizontal="left" vertical="center"/>
      <protection hidden="1"/>
    </xf>
    <xf numFmtId="3" fontId="72" fillId="0" borderId="64" xfId="0" applyNumberFormat="1" applyFont="1" applyFill="1" applyBorder="1" applyAlignment="1" applyProtection="1">
      <alignment horizontal="left" vertical="center"/>
      <protection hidden="1"/>
    </xf>
    <xf numFmtId="3" fontId="72" fillId="0" borderId="17" xfId="0" applyNumberFormat="1" applyFont="1" applyFill="1" applyBorder="1" applyAlignment="1" applyProtection="1">
      <alignment horizontal="left" vertical="center"/>
      <protection hidden="1"/>
    </xf>
    <xf numFmtId="3" fontId="73" fillId="0" borderId="0" xfId="0" applyNumberFormat="1" applyFont="1" applyFill="1" applyBorder="1" applyAlignment="1" applyProtection="1">
      <alignment horizontal="left" vertical="center"/>
      <protection hidden="1"/>
    </xf>
    <xf numFmtId="0" fontId="49" fillId="0" borderId="0" xfId="0" applyFont="1" applyFill="1" applyBorder="1" applyProtection="1">
      <alignment vertical="center"/>
      <protection hidden="1"/>
    </xf>
    <xf numFmtId="0" fontId="74" fillId="0" borderId="64" xfId="0" applyFont="1" applyFill="1" applyBorder="1" applyProtection="1">
      <alignment vertical="center"/>
      <protection hidden="1"/>
    </xf>
    <xf numFmtId="0" fontId="49" fillId="0" borderId="63" xfId="0" applyFont="1" applyFill="1" applyBorder="1" applyProtection="1">
      <alignment vertical="center"/>
      <protection hidden="1"/>
    </xf>
    <xf numFmtId="0" fontId="33" fillId="0" borderId="0" xfId="0" applyNumberFormat="1" applyFont="1" applyFill="1" applyBorder="1" applyAlignment="1" applyProtection="1">
      <alignment horizontal="left" vertical="center"/>
      <protection hidden="1"/>
    </xf>
    <xf numFmtId="0" fontId="34" fillId="0" borderId="0" xfId="0" applyNumberFormat="1" applyFont="1" applyFill="1" applyBorder="1" applyAlignment="1" applyProtection="1">
      <alignment horizontal="left" vertical="center"/>
      <protection hidden="1"/>
    </xf>
    <xf numFmtId="0" fontId="66" fillId="0" borderId="0" xfId="0" applyNumberFormat="1" applyFont="1" applyFill="1" applyBorder="1" applyAlignment="1" applyProtection="1">
      <alignment vertical="center"/>
      <protection hidden="1"/>
    </xf>
    <xf numFmtId="3" fontId="70" fillId="0" borderId="62" xfId="0" applyNumberFormat="1" applyFont="1" applyFill="1" applyBorder="1" applyAlignment="1" applyProtection="1">
      <alignment horizontal="left" vertical="center"/>
      <protection hidden="1"/>
    </xf>
    <xf numFmtId="0" fontId="56" fillId="0" borderId="66" xfId="0" applyFont="1" applyFill="1" applyBorder="1" applyProtection="1">
      <alignment vertical="center"/>
      <protection hidden="1"/>
    </xf>
    <xf numFmtId="0" fontId="49" fillId="0" borderId="66" xfId="0" applyFont="1" applyFill="1" applyBorder="1" applyProtection="1">
      <alignment vertical="center"/>
      <protection hidden="1"/>
    </xf>
    <xf numFmtId="0" fontId="74" fillId="0" borderId="83" xfId="0" applyFont="1" applyFill="1" applyBorder="1" applyProtection="1">
      <alignment vertical="center"/>
      <protection hidden="1"/>
    </xf>
    <xf numFmtId="3" fontId="72" fillId="0" borderId="84" xfId="0" applyNumberFormat="1" applyFont="1" applyFill="1" applyBorder="1" applyAlignment="1" applyProtection="1">
      <alignment horizontal="left" vertical="center"/>
      <protection hidden="1"/>
    </xf>
    <xf numFmtId="0" fontId="49" fillId="0" borderId="67" xfId="0" applyFont="1" applyFill="1" applyBorder="1" applyProtection="1">
      <alignment vertical="center"/>
      <protection hidden="1"/>
    </xf>
    <xf numFmtId="0" fontId="75" fillId="0" borderId="60" xfId="0" applyFont="1" applyFill="1" applyBorder="1" applyProtection="1">
      <alignment vertical="center"/>
      <protection hidden="1"/>
    </xf>
    <xf numFmtId="0" fontId="76" fillId="0" borderId="60" xfId="0" applyFont="1" applyFill="1" applyBorder="1" applyAlignment="1" applyProtection="1">
      <alignment vertical="center"/>
      <protection hidden="1"/>
    </xf>
    <xf numFmtId="0" fontId="56" fillId="0" borderId="60" xfId="0" applyFont="1" applyFill="1" applyBorder="1" applyProtection="1">
      <alignment vertical="center"/>
      <protection hidden="1"/>
    </xf>
    <xf numFmtId="3" fontId="77" fillId="0" borderId="60" xfId="0" applyNumberFormat="1" applyFont="1" applyFill="1" applyBorder="1" applyAlignment="1" applyProtection="1">
      <alignment horizontal="left" vertical="center"/>
      <protection hidden="1"/>
    </xf>
    <xf numFmtId="0" fontId="78" fillId="0" borderId="60" xfId="0" applyFont="1" applyFill="1" applyBorder="1" applyAlignment="1" applyProtection="1">
      <alignment vertical="center"/>
      <protection hidden="1"/>
    </xf>
    <xf numFmtId="37" fontId="33" fillId="0" borderId="60" xfId="0" applyNumberFormat="1" applyFont="1" applyFill="1" applyBorder="1" applyAlignment="1" applyProtection="1">
      <alignment horizontal="left" vertical="center"/>
      <protection hidden="1"/>
    </xf>
    <xf numFmtId="0" fontId="63" fillId="30" borderId="59" xfId="0" applyFont="1" applyFill="1" applyBorder="1" applyAlignment="1" applyProtection="1">
      <alignment vertical="center"/>
      <protection hidden="1"/>
    </xf>
    <xf numFmtId="0" fontId="79" fillId="30" borderId="60" xfId="0" applyFont="1" applyFill="1" applyBorder="1" applyAlignment="1" applyProtection="1">
      <alignment horizontal="right" vertical="center"/>
      <protection hidden="1"/>
    </xf>
    <xf numFmtId="0" fontId="79" fillId="30" borderId="60" xfId="0" applyFont="1" applyFill="1" applyBorder="1" applyAlignment="1" applyProtection="1">
      <alignment vertical="center"/>
      <protection hidden="1"/>
    </xf>
    <xf numFmtId="0" fontId="80" fillId="30" borderId="60" xfId="0" applyFont="1" applyFill="1" applyBorder="1" applyAlignment="1" applyProtection="1">
      <alignment vertical="center"/>
      <protection hidden="1"/>
    </xf>
    <xf numFmtId="56" fontId="63" fillId="30" borderId="85" xfId="0" applyNumberFormat="1" applyFont="1" applyFill="1" applyBorder="1" applyProtection="1">
      <alignment vertical="center"/>
      <protection hidden="1"/>
    </xf>
    <xf numFmtId="0" fontId="62" fillId="30" borderId="69" xfId="0" applyFont="1" applyFill="1" applyBorder="1" applyAlignment="1" applyProtection="1">
      <alignment horizontal="left" vertical="center"/>
      <protection hidden="1"/>
    </xf>
    <xf numFmtId="0" fontId="82" fillId="30" borderId="69" xfId="0" applyFont="1" applyFill="1" applyBorder="1" applyAlignment="1" applyProtection="1">
      <alignment horizontal="right" vertical="center"/>
      <protection hidden="1"/>
    </xf>
    <xf numFmtId="0" fontId="63" fillId="30" borderId="85" xfId="0" applyFont="1" applyFill="1" applyBorder="1" applyProtection="1">
      <alignment vertical="center"/>
      <protection hidden="1"/>
    </xf>
    <xf numFmtId="0" fontId="29" fillId="0" borderId="59" xfId="0" applyFont="1" applyFill="1" applyBorder="1" applyAlignment="1" applyProtection="1">
      <alignment vertical="center"/>
      <protection hidden="1"/>
    </xf>
    <xf numFmtId="0" fontId="29" fillId="0" borderId="60" xfId="0" applyFont="1" applyFill="1" applyBorder="1" applyAlignment="1" applyProtection="1">
      <alignment vertical="center"/>
      <protection hidden="1"/>
    </xf>
    <xf numFmtId="0" fontId="83" fillId="0" borderId="61" xfId="0" applyFont="1" applyFill="1" applyBorder="1" applyAlignment="1" applyProtection="1">
      <alignment horizontal="right" vertical="center"/>
      <protection hidden="1"/>
    </xf>
    <xf numFmtId="0" fontId="56" fillId="0" borderId="59" xfId="0" applyFont="1" applyFill="1" applyBorder="1" applyAlignment="1" applyProtection="1">
      <alignment vertical="center"/>
      <protection hidden="1"/>
    </xf>
    <xf numFmtId="0" fontId="56" fillId="0" borderId="0" xfId="0" applyFont="1" applyFill="1" applyBorder="1" applyAlignment="1" applyProtection="1">
      <alignment vertical="center"/>
      <protection hidden="1"/>
    </xf>
    <xf numFmtId="0" fontId="56" fillId="0" borderId="63" xfId="0" applyFont="1" applyFill="1" applyBorder="1" applyAlignment="1" applyProtection="1">
      <alignment vertical="center"/>
      <protection hidden="1"/>
    </xf>
    <xf numFmtId="38" fontId="49" fillId="0" borderId="10" xfId="35" applyFont="1" applyFill="1" applyBorder="1" applyAlignment="1" applyProtection="1">
      <protection hidden="1"/>
    </xf>
    <xf numFmtId="0" fontId="48" fillId="0" borderId="62" xfId="0" applyFont="1" applyFill="1" applyBorder="1" applyProtection="1">
      <alignment vertical="center"/>
      <protection hidden="1"/>
    </xf>
    <xf numFmtId="188" fontId="71" fillId="0" borderId="0" xfId="0" applyNumberFormat="1" applyFont="1" applyFill="1" applyBorder="1" applyAlignment="1" applyProtection="1">
      <alignment horizontal="center" vertical="center"/>
      <protection hidden="1"/>
    </xf>
    <xf numFmtId="0" fontId="29" fillId="0" borderId="62" xfId="0" applyFont="1" applyFill="1" applyBorder="1" applyAlignment="1" applyProtection="1">
      <alignment vertical="center"/>
      <protection hidden="1"/>
    </xf>
    <xf numFmtId="0" fontId="29" fillId="0" borderId="0" xfId="0" applyFont="1" applyFill="1" applyBorder="1" applyAlignment="1" applyProtection="1">
      <alignment vertical="center"/>
      <protection hidden="1"/>
    </xf>
    <xf numFmtId="0" fontId="36" fillId="0" borderId="0" xfId="0" applyFont="1" applyFill="1" applyBorder="1" applyAlignment="1" applyProtection="1">
      <alignment horizontal="center" vertical="center"/>
      <protection hidden="1"/>
    </xf>
    <xf numFmtId="0" fontId="36" fillId="0" borderId="63" xfId="0" applyFont="1" applyFill="1" applyBorder="1" applyAlignment="1" applyProtection="1">
      <alignment horizontal="center" vertical="center"/>
      <protection hidden="1"/>
    </xf>
    <xf numFmtId="0" fontId="48" fillId="0" borderId="62" xfId="0" applyFont="1" applyFill="1" applyBorder="1" applyAlignment="1" applyProtection="1">
      <alignment horizontal="right" vertical="center"/>
      <protection hidden="1"/>
    </xf>
    <xf numFmtId="38" fontId="6" fillId="0" borderId="10" xfId="0" applyNumberFormat="1" applyFont="1" applyFill="1" applyBorder="1" applyProtection="1">
      <alignment vertical="center"/>
      <protection hidden="1"/>
    </xf>
    <xf numFmtId="0" fontId="56" fillId="0" borderId="86" xfId="0" applyFont="1" applyFill="1" applyBorder="1" applyProtection="1">
      <alignment vertical="center"/>
      <protection hidden="1"/>
    </xf>
    <xf numFmtId="0" fontId="56" fillId="0" borderId="87" xfId="0" applyFont="1" applyFill="1" applyBorder="1" applyProtection="1">
      <alignment vertical="center"/>
      <protection hidden="1"/>
    </xf>
    <xf numFmtId="0" fontId="29" fillId="0" borderId="86" xfId="0" applyFont="1" applyFill="1" applyBorder="1" applyAlignment="1" applyProtection="1">
      <alignment vertical="center"/>
      <protection hidden="1"/>
    </xf>
    <xf numFmtId="0" fontId="29" fillId="0" borderId="87" xfId="0" applyFont="1" applyFill="1" applyBorder="1" applyAlignment="1" applyProtection="1">
      <alignment vertical="center"/>
      <protection hidden="1"/>
    </xf>
    <xf numFmtId="0" fontId="36" fillId="0" borderId="87" xfId="0" applyFont="1" applyFill="1" applyBorder="1" applyAlignment="1" applyProtection="1">
      <alignment horizontal="center" vertical="center"/>
      <protection hidden="1"/>
    </xf>
    <xf numFmtId="0" fontId="36" fillId="0" borderId="88" xfId="0" applyFont="1" applyFill="1" applyBorder="1" applyAlignment="1" applyProtection="1">
      <alignment horizontal="center" vertical="center"/>
      <protection hidden="1"/>
    </xf>
    <xf numFmtId="0" fontId="56" fillId="0" borderId="62" xfId="0" applyFont="1" applyFill="1" applyBorder="1" applyAlignment="1" applyProtection="1">
      <alignment vertical="center"/>
      <protection hidden="1"/>
    </xf>
    <xf numFmtId="38" fontId="6" fillId="0" borderId="10" xfId="35" applyFont="1" applyFill="1" applyBorder="1" applyProtection="1">
      <alignment vertical="center"/>
      <protection hidden="1"/>
    </xf>
    <xf numFmtId="0" fontId="83" fillId="0" borderId="62" xfId="0" applyFont="1" applyFill="1" applyBorder="1" applyProtection="1">
      <alignment vertical="center"/>
      <protection hidden="1"/>
    </xf>
    <xf numFmtId="0" fontId="48" fillId="0" borderId="62" xfId="0" applyFont="1" applyFill="1" applyBorder="1" applyAlignment="1" applyProtection="1">
      <alignment horizontal="left" vertical="center"/>
      <protection hidden="1"/>
    </xf>
    <xf numFmtId="0" fontId="84" fillId="0" borderId="0" xfId="0" applyFont="1" applyFill="1" applyBorder="1" applyAlignment="1" applyProtection="1">
      <alignment horizontal="center" vertical="center"/>
      <protection hidden="1"/>
    </xf>
    <xf numFmtId="0" fontId="56" fillId="0" borderId="0" xfId="0" applyFont="1" applyFill="1" applyBorder="1" applyAlignment="1">
      <alignment vertical="center"/>
    </xf>
    <xf numFmtId="0" fontId="28" fillId="0" borderId="63" xfId="0" applyFont="1" applyFill="1" applyBorder="1" applyAlignment="1" applyProtection="1">
      <alignment horizontal="right" vertical="center"/>
      <protection hidden="1"/>
    </xf>
    <xf numFmtId="0" fontId="6" fillId="0" borderId="10" xfId="0" applyNumberFormat="1" applyFont="1" applyFill="1" applyBorder="1" applyAlignment="1" applyProtection="1">
      <alignment horizontal="center"/>
      <protection hidden="1"/>
    </xf>
    <xf numFmtId="0" fontId="6" fillId="0" borderId="10" xfId="35" applyNumberFormat="1" applyFont="1" applyFill="1" applyBorder="1" applyAlignment="1" applyProtection="1">
      <protection hidden="1"/>
    </xf>
    <xf numFmtId="0" fontId="6" fillId="0" borderId="10" xfId="35" quotePrefix="1" applyNumberFormat="1" applyFont="1" applyFill="1" applyBorder="1" applyAlignment="1" applyProtection="1">
      <protection hidden="1"/>
    </xf>
    <xf numFmtId="0" fontId="48" fillId="0" borderId="86" xfId="0" applyFont="1" applyFill="1" applyBorder="1" applyAlignment="1" applyProtection="1">
      <alignment horizontal="left" vertical="center"/>
      <protection hidden="1"/>
    </xf>
    <xf numFmtId="0" fontId="84" fillId="0" borderId="87" xfId="0" applyFont="1" applyFill="1" applyBorder="1" applyAlignment="1" applyProtection="1">
      <alignment horizontal="center" vertical="center"/>
      <protection hidden="1"/>
    </xf>
    <xf numFmtId="0" fontId="56" fillId="0" borderId="87" xfId="0" applyFont="1" applyFill="1" applyBorder="1" applyAlignment="1">
      <alignment vertical="center"/>
    </xf>
    <xf numFmtId="0" fontId="28" fillId="0" borderId="88" xfId="0" applyFont="1" applyFill="1" applyBorder="1" applyAlignment="1" applyProtection="1">
      <alignment horizontal="right" vertical="center"/>
      <protection hidden="1"/>
    </xf>
    <xf numFmtId="0" fontId="6" fillId="0" borderId="0" xfId="0" applyNumberFormat="1" applyFont="1" applyFill="1" applyBorder="1" applyAlignment="1" applyProtection="1">
      <alignment horizontal="center"/>
      <protection hidden="1"/>
    </xf>
    <xf numFmtId="0" fontId="6" fillId="0" borderId="0" xfId="35" applyNumberFormat="1" applyFont="1" applyFill="1" applyBorder="1" applyAlignment="1" applyProtection="1">
      <protection hidden="1"/>
    </xf>
    <xf numFmtId="0" fontId="66" fillId="0" borderId="62" xfId="0" applyFont="1" applyFill="1" applyBorder="1" applyAlignment="1" applyProtection="1">
      <alignment vertical="center" wrapText="1"/>
      <protection hidden="1"/>
    </xf>
    <xf numFmtId="0" fontId="66" fillId="0" borderId="0" xfId="0" applyFont="1" applyFill="1" applyBorder="1" applyAlignment="1" applyProtection="1">
      <alignment vertical="center" wrapText="1"/>
      <protection hidden="1"/>
    </xf>
    <xf numFmtId="0" fontId="66" fillId="0" borderId="63" xfId="0" applyFont="1" applyFill="1" applyBorder="1" applyAlignment="1" applyProtection="1">
      <alignment vertical="center" wrapText="1"/>
      <protection hidden="1"/>
    </xf>
    <xf numFmtId="188" fontId="48" fillId="0" borderId="0" xfId="35" applyNumberFormat="1" applyFont="1" applyFill="1" applyBorder="1" applyAlignment="1" applyProtection="1">
      <alignment horizontal="right" vertical="center"/>
      <protection hidden="1"/>
    </xf>
    <xf numFmtId="0" fontId="11" fillId="0" borderId="0" xfId="0" applyFont="1" applyFill="1" applyBorder="1" applyProtection="1">
      <alignment vertical="center"/>
      <protection hidden="1"/>
    </xf>
    <xf numFmtId="0" fontId="6" fillId="0" borderId="0" xfId="35" applyNumberFormat="1" applyFont="1" applyFill="1" applyBorder="1" applyAlignment="1" applyProtection="1">
      <alignment wrapText="1"/>
      <protection hidden="1"/>
    </xf>
    <xf numFmtId="188" fontId="48" fillId="0" borderId="0" xfId="35" applyNumberFormat="1" applyFont="1" applyFill="1" applyBorder="1" applyAlignment="1" applyProtection="1">
      <alignment horizontal="right" vertical="top"/>
      <protection hidden="1"/>
    </xf>
    <xf numFmtId="0" fontId="48" fillId="0" borderId="0" xfId="0" applyFont="1" applyFill="1" applyBorder="1" applyProtection="1">
      <alignment vertical="center"/>
      <protection hidden="1"/>
    </xf>
    <xf numFmtId="0" fontId="66" fillId="0" borderId="0" xfId="0" applyFont="1" applyFill="1" applyBorder="1" applyAlignment="1" applyProtection="1">
      <alignment horizontal="left"/>
      <protection hidden="1"/>
    </xf>
    <xf numFmtId="0" fontId="56" fillId="0" borderId="65" xfId="0" applyFont="1" applyFill="1" applyBorder="1" applyProtection="1">
      <alignment vertical="center"/>
      <protection hidden="1"/>
    </xf>
    <xf numFmtId="0" fontId="56" fillId="0" borderId="65" xfId="0" applyFont="1" applyFill="1" applyBorder="1" applyAlignment="1" applyProtection="1">
      <alignment vertical="center"/>
      <protection hidden="1"/>
    </xf>
    <xf numFmtId="0" fontId="66" fillId="0" borderId="66" xfId="0" applyFont="1" applyFill="1" applyBorder="1" applyAlignment="1" applyProtection="1">
      <alignment horizontal="left" vertical="top"/>
      <protection hidden="1"/>
    </xf>
    <xf numFmtId="0" fontId="56" fillId="0" borderId="66" xfId="0" applyFont="1" applyFill="1" applyBorder="1" applyAlignment="1" applyProtection="1">
      <alignment vertical="center"/>
      <protection hidden="1"/>
    </xf>
    <xf numFmtId="0" fontId="56" fillId="0" borderId="67" xfId="0" applyFont="1" applyFill="1" applyBorder="1" applyAlignment="1" applyProtection="1">
      <alignment vertical="center"/>
      <protection hidden="1"/>
    </xf>
    <xf numFmtId="0" fontId="83" fillId="0" borderId="10" xfId="0" applyFont="1" applyFill="1" applyBorder="1" applyProtection="1">
      <alignment vertical="center"/>
      <protection hidden="1"/>
    </xf>
    <xf numFmtId="0" fontId="11" fillId="0" borderId="10" xfId="0" applyFont="1" applyFill="1" applyBorder="1" applyProtection="1">
      <alignment vertical="center"/>
      <protection hidden="1"/>
    </xf>
    <xf numFmtId="0" fontId="63" fillId="30" borderId="68" xfId="0" applyFont="1" applyFill="1" applyBorder="1" applyAlignment="1" applyProtection="1">
      <alignment vertical="center"/>
      <protection hidden="1"/>
    </xf>
    <xf numFmtId="0" fontId="85" fillId="30" borderId="69" xfId="0" applyFont="1" applyFill="1" applyBorder="1" applyAlignment="1" applyProtection="1">
      <alignment vertical="center"/>
      <protection hidden="1"/>
    </xf>
    <xf numFmtId="0" fontId="85" fillId="30" borderId="69" xfId="0" applyFont="1" applyFill="1" applyBorder="1" applyAlignment="1" applyProtection="1">
      <alignment horizontal="right" vertical="center"/>
      <protection hidden="1"/>
    </xf>
    <xf numFmtId="0" fontId="86" fillId="30" borderId="69" xfId="0" applyFont="1" applyFill="1" applyBorder="1" applyAlignment="1" applyProtection="1">
      <alignment horizontal="right" vertical="top"/>
      <protection hidden="1"/>
    </xf>
    <xf numFmtId="0" fontId="60" fillId="30" borderId="69" xfId="0" applyFont="1" applyFill="1" applyBorder="1" applyAlignment="1" applyProtection="1">
      <alignment horizontal="center" vertical="center"/>
      <protection hidden="1"/>
    </xf>
    <xf numFmtId="0" fontId="66" fillId="30" borderId="69" xfId="0" applyFont="1" applyFill="1" applyBorder="1" applyAlignment="1" applyProtection="1">
      <alignment vertical="center"/>
      <protection hidden="1"/>
    </xf>
    <xf numFmtId="0" fontId="86" fillId="30" borderId="71" xfId="0" applyFont="1" applyFill="1" applyBorder="1" applyAlignment="1" applyProtection="1">
      <alignment horizontal="right" vertical="center"/>
      <protection hidden="1"/>
    </xf>
    <xf numFmtId="38" fontId="56" fillId="32" borderId="10" xfId="35" applyFont="1" applyFill="1" applyBorder="1" applyProtection="1">
      <alignment vertical="center"/>
      <protection hidden="1"/>
    </xf>
    <xf numFmtId="0" fontId="56" fillId="32" borderId="10" xfId="0" applyFont="1" applyFill="1" applyBorder="1" applyProtection="1">
      <alignment vertical="center"/>
      <protection hidden="1"/>
    </xf>
    <xf numFmtId="9" fontId="56" fillId="0" borderId="10" xfId="0" applyNumberFormat="1" applyFont="1" applyFill="1" applyBorder="1" applyProtection="1">
      <alignment vertical="center"/>
      <protection hidden="1"/>
    </xf>
    <xf numFmtId="38" fontId="56" fillId="0" borderId="0" xfId="0" applyNumberFormat="1" applyFont="1" applyFill="1" applyBorder="1" applyProtection="1">
      <alignment vertical="center"/>
      <protection hidden="1"/>
    </xf>
    <xf numFmtId="0" fontId="88" fillId="33" borderId="62" xfId="0" applyFont="1" applyFill="1" applyBorder="1" applyAlignment="1" applyProtection="1">
      <alignment vertical="center"/>
      <protection hidden="1"/>
    </xf>
    <xf numFmtId="0" fontId="85" fillId="33" borderId="0" xfId="0" applyFont="1" applyFill="1" applyBorder="1" applyAlignment="1" applyProtection="1">
      <alignment vertical="center"/>
      <protection hidden="1"/>
    </xf>
    <xf numFmtId="0" fontId="60" fillId="33" borderId="0" xfId="0" applyFont="1" applyFill="1" applyBorder="1" applyAlignment="1" applyProtection="1">
      <alignment horizontal="center" vertical="center"/>
      <protection hidden="1"/>
    </xf>
    <xf numFmtId="0" fontId="89" fillId="33" borderId="0" xfId="0" applyFont="1" applyFill="1" applyBorder="1" applyAlignment="1" applyProtection="1">
      <alignment horizontal="right" vertical="center"/>
      <protection hidden="1"/>
    </xf>
    <xf numFmtId="0" fontId="90"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177" fontId="92" fillId="33" borderId="0" xfId="0" applyNumberFormat="1" applyFont="1" applyFill="1" applyBorder="1" applyAlignment="1" applyProtection="1">
      <alignment horizontal="right" vertical="center"/>
      <protection hidden="1"/>
    </xf>
    <xf numFmtId="0" fontId="86" fillId="33" borderId="63" xfId="0" applyFont="1" applyFill="1" applyBorder="1" applyAlignment="1" applyProtection="1">
      <alignment horizontal="right" vertical="center"/>
      <protection hidden="1"/>
    </xf>
    <xf numFmtId="0" fontId="65" fillId="0" borderId="0" xfId="0" applyFont="1" applyFill="1" applyBorder="1" applyAlignment="1" applyProtection="1">
      <alignment vertical="center"/>
      <protection hidden="1"/>
    </xf>
    <xf numFmtId="184" fontId="65" fillId="0" borderId="0" xfId="0" applyNumberFormat="1" applyFont="1" applyFill="1" applyBorder="1" applyAlignment="1" applyProtection="1">
      <alignment horizontal="left" vertical="center"/>
      <protection hidden="1"/>
    </xf>
    <xf numFmtId="0" fontId="65" fillId="0" borderId="0" xfId="0" applyFont="1" applyFill="1" applyBorder="1" applyAlignment="1" applyProtection="1">
      <alignment horizontal="left" vertical="center"/>
      <protection hidden="1"/>
    </xf>
    <xf numFmtId="38" fontId="11" fillId="32" borderId="10" xfId="0" applyNumberFormat="1" applyFont="1" applyFill="1" applyBorder="1" applyProtection="1">
      <alignment vertical="center"/>
      <protection hidden="1"/>
    </xf>
    <xf numFmtId="0" fontId="93" fillId="0" borderId="0" xfId="0" applyFont="1" applyFill="1" applyBorder="1" applyAlignment="1" applyProtection="1">
      <alignment vertical="center"/>
      <protection hidden="1"/>
    </xf>
    <xf numFmtId="0" fontId="94" fillId="0" borderId="0" xfId="0" applyFont="1" applyFill="1" applyBorder="1" applyAlignment="1" applyProtection="1">
      <alignment horizontal="left" vertical="center"/>
      <protection hidden="1"/>
    </xf>
    <xf numFmtId="0" fontId="95" fillId="0" borderId="0" xfId="0" applyFont="1" applyFill="1" applyBorder="1" applyAlignment="1" applyProtection="1">
      <alignment horizontal="right" vertical="center"/>
      <protection hidden="1"/>
    </xf>
    <xf numFmtId="0" fontId="96" fillId="0" borderId="0" xfId="0" applyFont="1" applyFill="1" applyBorder="1" applyProtection="1">
      <alignment vertical="center"/>
      <protection hidden="1"/>
    </xf>
    <xf numFmtId="184" fontId="65" fillId="0" borderId="63" xfId="0" applyNumberFormat="1" applyFont="1" applyFill="1" applyBorder="1" applyAlignment="1" applyProtection="1">
      <alignment horizontal="center" vertical="center"/>
      <protection hidden="1"/>
    </xf>
    <xf numFmtId="38" fontId="56" fillId="32" borderId="10" xfId="0" applyNumberFormat="1" applyFont="1" applyFill="1" applyBorder="1" applyProtection="1">
      <alignment vertical="center"/>
      <protection hidden="1"/>
    </xf>
    <xf numFmtId="0" fontId="56" fillId="0" borderId="0" xfId="0" quotePrefix="1" applyFont="1" applyFill="1" applyBorder="1" applyProtection="1">
      <alignment vertical="center"/>
      <protection hidden="1"/>
    </xf>
    <xf numFmtId="0" fontId="49" fillId="0" borderId="10" xfId="0" applyNumberFormat="1" applyFont="1" applyFill="1" applyBorder="1" applyAlignment="1" applyProtection="1">
      <alignment horizontal="left" vertical="center"/>
      <protection hidden="1"/>
    </xf>
    <xf numFmtId="204" fontId="49" fillId="0" borderId="10" xfId="0" applyNumberFormat="1" applyFont="1" applyFill="1" applyBorder="1" applyAlignment="1" applyProtection="1">
      <alignment horizontal="left"/>
      <protection hidden="1"/>
    </xf>
    <xf numFmtId="177" fontId="49" fillId="0" borderId="10" xfId="0" applyNumberFormat="1" applyFont="1" applyFill="1" applyBorder="1" applyAlignment="1" applyProtection="1">
      <alignment horizontal="right"/>
      <protection hidden="1"/>
    </xf>
    <xf numFmtId="177" fontId="49" fillId="0" borderId="10" xfId="0" applyNumberFormat="1" applyFont="1" applyFill="1" applyBorder="1" applyProtection="1">
      <alignment vertical="center"/>
      <protection hidden="1"/>
    </xf>
    <xf numFmtId="184" fontId="27" fillId="0" borderId="0"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34" fillId="0" borderId="57" xfId="0" applyFont="1" applyFill="1" applyBorder="1" applyAlignment="1" applyProtection="1">
      <alignment vertical="center"/>
      <protection hidden="1"/>
    </xf>
    <xf numFmtId="0" fontId="60" fillId="0" borderId="57" xfId="0" applyFont="1" applyFill="1" applyBorder="1" applyAlignment="1" applyProtection="1">
      <alignment horizontal="center" vertical="center"/>
      <protection hidden="1"/>
    </xf>
    <xf numFmtId="0" fontId="60" fillId="0" borderId="57" xfId="0" applyFont="1" applyFill="1" applyBorder="1" applyAlignment="1" applyProtection="1">
      <alignment vertical="center"/>
      <protection hidden="1"/>
    </xf>
    <xf numFmtId="0" fontId="49" fillId="0" borderId="57" xfId="0" applyFont="1" applyFill="1" applyBorder="1" applyProtection="1">
      <alignment vertical="center"/>
      <protection hidden="1"/>
    </xf>
    <xf numFmtId="0" fontId="49" fillId="0" borderId="79" xfId="0" applyFont="1" applyFill="1" applyBorder="1" applyProtection="1">
      <alignment vertical="center"/>
      <protection hidden="1"/>
    </xf>
    <xf numFmtId="0" fontId="49" fillId="0" borderId="53" xfId="0" applyFont="1" applyFill="1" applyBorder="1" applyProtection="1">
      <alignment vertical="center"/>
      <protection hidden="1"/>
    </xf>
    <xf numFmtId="0" fontId="98" fillId="33" borderId="89" xfId="0" applyFont="1" applyFill="1" applyBorder="1" applyAlignment="1" applyProtection="1">
      <alignment vertical="center"/>
      <protection hidden="1"/>
    </xf>
    <xf numFmtId="0" fontId="85" fillId="33" borderId="53" xfId="0" applyFont="1" applyFill="1" applyBorder="1" applyAlignment="1" applyProtection="1">
      <alignment vertical="center"/>
      <protection hidden="1"/>
    </xf>
    <xf numFmtId="0" fontId="85" fillId="33" borderId="53" xfId="0" applyFont="1" applyFill="1" applyBorder="1" applyAlignment="1" applyProtection="1">
      <alignment horizontal="right" vertical="center"/>
      <protection hidden="1"/>
    </xf>
    <xf numFmtId="184" fontId="92" fillId="33" borderId="0" xfId="0" applyNumberFormat="1" applyFont="1" applyFill="1" applyBorder="1" applyAlignment="1" applyProtection="1">
      <alignment horizontal="right" vertical="center"/>
      <protection hidden="1"/>
    </xf>
    <xf numFmtId="0" fontId="65" fillId="0" borderId="62" xfId="0" applyFont="1" applyFill="1" applyBorder="1" applyAlignment="1" applyProtection="1">
      <alignment horizontal="left" vertical="center"/>
      <protection hidden="1"/>
    </xf>
    <xf numFmtId="1" fontId="65" fillId="0" borderId="0" xfId="0" applyNumberFormat="1" applyFont="1" applyFill="1" applyBorder="1" applyAlignment="1" applyProtection="1">
      <alignment horizontal="left" vertical="center"/>
      <protection hidden="1"/>
    </xf>
    <xf numFmtId="0" fontId="65" fillId="0" borderId="63" xfId="0" applyFont="1" applyFill="1" applyBorder="1" applyAlignment="1" applyProtection="1">
      <alignment horizontal="left" vertical="center"/>
      <protection hidden="1"/>
    </xf>
    <xf numFmtId="0" fontId="66" fillId="0" borderId="62" xfId="0" applyFont="1" applyFill="1" applyBorder="1" applyAlignment="1" applyProtection="1">
      <alignment vertical="center"/>
      <protection hidden="1"/>
    </xf>
    <xf numFmtId="0" fontId="99" fillId="0" borderId="0" xfId="0" applyFont="1" applyFill="1" applyBorder="1" applyAlignment="1" applyProtection="1">
      <alignment vertical="center"/>
      <protection hidden="1"/>
    </xf>
    <xf numFmtId="0" fontId="34" fillId="0" borderId="0" xfId="0" applyFont="1" applyFill="1" applyBorder="1" applyAlignment="1" applyProtection="1">
      <alignment horizontal="right" vertical="center"/>
      <protection hidden="1"/>
    </xf>
    <xf numFmtId="1" fontId="34" fillId="0" borderId="0" xfId="0" applyNumberFormat="1" applyFont="1" applyFill="1" applyBorder="1" applyAlignment="1" applyProtection="1">
      <alignment vertical="center"/>
      <protection hidden="1"/>
    </xf>
    <xf numFmtId="0" fontId="66"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left" vertical="center"/>
      <protection hidden="1"/>
    </xf>
    <xf numFmtId="0" fontId="49" fillId="0" borderId="10" xfId="0" applyNumberFormat="1" applyFont="1" applyFill="1" applyBorder="1" applyAlignment="1" applyProtection="1">
      <alignment horizontal="right"/>
      <protection hidden="1"/>
    </xf>
    <xf numFmtId="0" fontId="34" fillId="0" borderId="62" xfId="0" applyFont="1" applyFill="1" applyBorder="1" applyAlignment="1" applyProtection="1">
      <alignment vertical="center"/>
      <protection hidden="1"/>
    </xf>
    <xf numFmtId="177" fontId="56" fillId="0" borderId="0" xfId="0" applyNumberFormat="1" applyFont="1" applyFill="1" applyBorder="1" applyProtection="1">
      <alignment vertical="center"/>
      <protection hidden="1"/>
    </xf>
    <xf numFmtId="188" fontId="49" fillId="0" borderId="10" xfId="35" applyNumberFormat="1" applyFont="1" applyFill="1" applyBorder="1" applyAlignment="1" applyProtection="1">
      <alignment horizontal="right"/>
      <protection hidden="1"/>
    </xf>
    <xf numFmtId="0" fontId="6" fillId="0" borderId="10" xfId="0" applyNumberFormat="1" applyFont="1" applyFill="1" applyBorder="1" applyAlignment="1" applyProtection="1">
      <alignment horizontal="left"/>
      <protection hidden="1"/>
    </xf>
    <xf numFmtId="0" fontId="34" fillId="0" borderId="65" xfId="0" applyFont="1" applyFill="1" applyBorder="1" applyAlignment="1" applyProtection="1">
      <alignment vertical="center"/>
      <protection hidden="1"/>
    </xf>
    <xf numFmtId="0" fontId="34" fillId="0" borderId="66" xfId="0" applyFont="1" applyFill="1" applyBorder="1" applyAlignment="1" applyProtection="1">
      <alignment vertical="center"/>
      <protection hidden="1"/>
    </xf>
    <xf numFmtId="0" fontId="34" fillId="0" borderId="66" xfId="0" applyFont="1" applyFill="1" applyBorder="1" applyAlignment="1" applyProtection="1">
      <alignment horizontal="right" vertical="center"/>
      <protection hidden="1"/>
    </xf>
    <xf numFmtId="0" fontId="60" fillId="0" borderId="66" xfId="0" applyFont="1" applyFill="1" applyBorder="1" applyAlignment="1" applyProtection="1">
      <alignment vertical="center"/>
      <protection hidden="1"/>
    </xf>
    <xf numFmtId="0" fontId="27" fillId="0" borderId="66" xfId="0" applyFont="1" applyFill="1" applyBorder="1" applyAlignment="1" applyProtection="1">
      <alignment horizontal="left" vertical="center"/>
      <protection hidden="1"/>
    </xf>
    <xf numFmtId="0" fontId="66" fillId="0" borderId="66" xfId="0" applyFont="1" applyFill="1" applyBorder="1" applyAlignment="1" applyProtection="1">
      <alignment vertical="center"/>
      <protection hidden="1"/>
    </xf>
    <xf numFmtId="0" fontId="66"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49" fillId="34" borderId="10" xfId="0" applyNumberFormat="1" applyFont="1" applyFill="1" applyBorder="1" applyAlignment="1" applyProtection="1">
      <alignment horizontal="right"/>
      <protection hidden="1"/>
    </xf>
    <xf numFmtId="0" fontId="78" fillId="0" borderId="0" xfId="0" applyFont="1" applyFill="1" applyBorder="1" applyAlignment="1" applyProtection="1">
      <alignment vertical="center"/>
      <protection hidden="1"/>
    </xf>
    <xf numFmtId="0" fontId="27" fillId="0" borderId="0" xfId="0" applyFont="1" applyFill="1" applyBorder="1" applyAlignment="1" applyProtection="1">
      <alignment horizontal="right" vertical="center"/>
      <protection hidden="1"/>
    </xf>
    <xf numFmtId="0" fontId="49" fillId="0" borderId="0" xfId="0" applyNumberFormat="1" applyFont="1" applyFill="1" applyBorder="1" applyAlignment="1" applyProtection="1">
      <alignment horizontal="right"/>
      <protection hidden="1"/>
    </xf>
    <xf numFmtId="0" fontId="85" fillId="30" borderId="60" xfId="0" applyFont="1" applyFill="1" applyBorder="1" applyAlignment="1" applyProtection="1">
      <alignment vertical="center"/>
      <protection hidden="1"/>
    </xf>
    <xf numFmtId="0" fontId="85" fillId="30" borderId="60" xfId="0" applyFont="1" applyFill="1" applyBorder="1" applyAlignment="1" applyProtection="1">
      <alignment horizontal="right" vertical="center"/>
      <protection hidden="1"/>
    </xf>
    <xf numFmtId="0" fontId="100" fillId="30" borderId="60" xfId="0" applyFont="1" applyFill="1" applyBorder="1" applyAlignment="1" applyProtection="1">
      <alignment horizontal="right" vertical="top"/>
      <protection hidden="1"/>
    </xf>
    <xf numFmtId="0" fontId="60" fillId="30" borderId="60" xfId="0" applyFont="1" applyFill="1" applyBorder="1" applyAlignment="1" applyProtection="1">
      <alignment horizontal="center" vertical="center"/>
      <protection hidden="1"/>
    </xf>
    <xf numFmtId="0" fontId="66" fillId="30" borderId="60" xfId="0" applyFont="1" applyFill="1" applyBorder="1" applyAlignment="1" applyProtection="1">
      <alignment vertical="center"/>
      <protection hidden="1"/>
    </xf>
    <xf numFmtId="0" fontId="100" fillId="30" borderId="61" xfId="0" applyFont="1" applyFill="1" applyBorder="1" applyAlignment="1" applyProtection="1">
      <alignment horizontal="right" vertical="center"/>
      <protection hidden="1"/>
    </xf>
    <xf numFmtId="0" fontId="4" fillId="35" borderId="89" xfId="0" applyFont="1" applyFill="1" applyBorder="1" applyAlignment="1" applyProtection="1">
      <alignment vertical="center"/>
      <protection hidden="1"/>
    </xf>
    <xf numFmtId="0" fontId="85" fillId="35" borderId="53" xfId="0" applyFont="1" applyFill="1" applyBorder="1" applyAlignment="1" applyProtection="1">
      <alignment vertical="center"/>
      <protection hidden="1"/>
    </xf>
    <xf numFmtId="0" fontId="85" fillId="35" borderId="53" xfId="0" applyFont="1" applyFill="1" applyBorder="1" applyAlignment="1" applyProtection="1">
      <alignment horizontal="right" vertical="center"/>
      <protection hidden="1"/>
    </xf>
    <xf numFmtId="0" fontId="101" fillId="35" borderId="54" xfId="0" applyFont="1" applyFill="1" applyBorder="1" applyAlignment="1" applyProtection="1">
      <alignment vertical="center"/>
      <protection hidden="1"/>
    </xf>
    <xf numFmtId="0" fontId="4" fillId="35" borderId="53" xfId="0" applyFont="1" applyFill="1" applyBorder="1" applyAlignment="1" applyProtection="1">
      <alignment vertical="center"/>
      <protection hidden="1"/>
    </xf>
    <xf numFmtId="0" fontId="101" fillId="35" borderId="53" xfId="0" applyFont="1" applyFill="1" applyBorder="1" applyAlignment="1" applyProtection="1">
      <alignment horizontal="center" vertical="center"/>
      <protection hidden="1"/>
    </xf>
    <xf numFmtId="0" fontId="101" fillId="35" borderId="90" xfId="0" applyFont="1" applyFill="1" applyBorder="1" applyAlignment="1" applyProtection="1">
      <alignment horizontal="center" vertical="center"/>
      <protection hidden="1"/>
    </xf>
    <xf numFmtId="205" fontId="49" fillId="0" borderId="0" xfId="0" applyNumberFormat="1" applyFont="1" applyFill="1" applyBorder="1" applyProtection="1">
      <alignment vertical="center"/>
      <protection hidden="1"/>
    </xf>
    <xf numFmtId="0" fontId="102" fillId="35" borderId="89" xfId="0" applyFont="1" applyFill="1" applyBorder="1" applyAlignment="1" applyProtection="1">
      <alignment vertical="center"/>
      <protection hidden="1"/>
    </xf>
    <xf numFmtId="0" fontId="101" fillId="35" borderId="54" xfId="0" applyFont="1" applyFill="1" applyBorder="1" applyAlignment="1" applyProtection="1">
      <alignment horizontal="center" vertical="center"/>
      <protection hidden="1"/>
    </xf>
    <xf numFmtId="0" fontId="102" fillId="35" borderId="64" xfId="0" applyFont="1" applyFill="1" applyBorder="1">
      <alignment vertical="center"/>
    </xf>
    <xf numFmtId="0" fontId="101" fillId="35" borderId="0" xfId="0" applyFont="1" applyFill="1" applyBorder="1" applyAlignment="1" applyProtection="1">
      <alignment horizontal="center" vertical="center"/>
      <protection hidden="1"/>
    </xf>
    <xf numFmtId="0" fontId="101" fillId="35" borderId="17" xfId="0" applyFont="1" applyFill="1" applyBorder="1" applyAlignment="1" applyProtection="1">
      <alignment horizontal="center" vertical="center"/>
      <protection hidden="1"/>
    </xf>
    <xf numFmtId="0" fontId="102" fillId="35" borderId="52" xfId="0" applyFont="1" applyFill="1" applyBorder="1">
      <alignment vertical="center"/>
    </xf>
    <xf numFmtId="0" fontId="101" fillId="35" borderId="0" xfId="0" applyFont="1" applyFill="1" applyBorder="1" applyAlignment="1" applyProtection="1">
      <alignment horizontal="left" vertical="center"/>
      <protection hidden="1"/>
    </xf>
    <xf numFmtId="0" fontId="85" fillId="35" borderId="0" xfId="0" applyFont="1" applyFill="1" applyBorder="1" applyAlignment="1" applyProtection="1">
      <alignment horizontal="right" vertical="center"/>
      <protection hidden="1"/>
    </xf>
    <xf numFmtId="0" fontId="85" fillId="35" borderId="63" xfId="0" applyFont="1" applyFill="1" applyBorder="1" applyAlignment="1" applyProtection="1">
      <alignment horizontal="right" vertical="center"/>
      <protection hidden="1"/>
    </xf>
    <xf numFmtId="0" fontId="102" fillId="35" borderId="89" xfId="0" applyFont="1" applyFill="1" applyBorder="1">
      <alignment vertical="center"/>
    </xf>
    <xf numFmtId="0" fontId="101" fillId="35" borderId="53" xfId="0" applyFont="1" applyFill="1" applyBorder="1" applyAlignment="1" applyProtection="1">
      <alignment horizontal="left" vertical="center"/>
      <protection hidden="1"/>
    </xf>
    <xf numFmtId="0" fontId="85" fillId="35" borderId="54" xfId="0" applyFont="1" applyFill="1" applyBorder="1" applyAlignment="1" applyProtection="1">
      <alignment horizontal="right" vertical="center"/>
      <protection hidden="1"/>
    </xf>
    <xf numFmtId="0" fontId="102" fillId="35" borderId="0" xfId="0" applyFont="1" applyFill="1" applyBorder="1">
      <alignment vertical="center"/>
    </xf>
    <xf numFmtId="0" fontId="102" fillId="35" borderId="53" xfId="0" applyFont="1" applyFill="1" applyBorder="1">
      <alignment vertical="center"/>
    </xf>
    <xf numFmtId="0" fontId="85" fillId="35" borderId="90" xfId="0" applyFont="1" applyFill="1" applyBorder="1" applyAlignment="1" applyProtection="1">
      <alignment horizontal="right" vertical="center"/>
      <protection hidden="1"/>
    </xf>
    <xf numFmtId="0" fontId="62" fillId="36" borderId="68" xfId="0" applyFont="1" applyFill="1" applyBorder="1" applyAlignment="1" applyProtection="1">
      <alignment vertical="center"/>
      <protection hidden="1"/>
    </xf>
    <xf numFmtId="0" fontId="85" fillId="36" borderId="69" xfId="0" applyFont="1" applyFill="1" applyBorder="1" applyAlignment="1" applyProtection="1">
      <alignment vertical="center"/>
      <protection hidden="1"/>
    </xf>
    <xf numFmtId="0" fontId="85" fillId="36" borderId="69" xfId="0" applyFont="1" applyFill="1" applyBorder="1" applyAlignment="1" applyProtection="1">
      <alignment horizontal="right" vertical="center"/>
      <protection hidden="1"/>
    </xf>
    <xf numFmtId="0" fontId="86" fillId="36" borderId="69" xfId="0" applyFont="1" applyFill="1" applyBorder="1" applyAlignment="1" applyProtection="1">
      <alignment vertical="top"/>
      <protection hidden="1"/>
    </xf>
    <xf numFmtId="0" fontId="66" fillId="36" borderId="69" xfId="0" applyFont="1" applyFill="1" applyBorder="1" applyAlignment="1" applyProtection="1">
      <alignment vertical="center"/>
      <protection hidden="1"/>
    </xf>
    <xf numFmtId="0" fontId="100" fillId="36" borderId="69" xfId="0" applyFont="1" applyFill="1" applyBorder="1" applyAlignment="1" applyProtection="1">
      <alignment vertical="center"/>
      <protection hidden="1"/>
    </xf>
    <xf numFmtId="0" fontId="86" fillId="36" borderId="71" xfId="0" applyFont="1" applyFill="1" applyBorder="1" applyAlignment="1" applyProtection="1">
      <alignment horizontal="right" vertical="center"/>
      <protection hidden="1"/>
    </xf>
    <xf numFmtId="0" fontId="62" fillId="37" borderId="59" xfId="0" applyFont="1" applyFill="1" applyBorder="1" applyAlignment="1" applyProtection="1">
      <alignment vertical="center"/>
      <protection hidden="1"/>
    </xf>
    <xf numFmtId="0" fontId="85" fillId="37" borderId="60" xfId="0" applyFont="1" applyFill="1" applyBorder="1" applyAlignment="1" applyProtection="1">
      <alignment vertical="center"/>
      <protection hidden="1"/>
    </xf>
    <xf numFmtId="0" fontId="85" fillId="37" borderId="60" xfId="0" applyFont="1" applyFill="1" applyBorder="1" applyAlignment="1" applyProtection="1">
      <alignment horizontal="right" vertical="center"/>
      <protection hidden="1"/>
    </xf>
    <xf numFmtId="0" fontId="100" fillId="37" borderId="60" xfId="0" applyFont="1" applyFill="1" applyBorder="1" applyAlignment="1" applyProtection="1">
      <alignment vertical="center"/>
      <protection hidden="1"/>
    </xf>
    <xf numFmtId="0" fontId="2" fillId="37" borderId="60" xfId="0" applyFont="1" applyFill="1" applyBorder="1" applyAlignment="1" applyProtection="1">
      <alignment vertical="center"/>
      <protection hidden="1"/>
    </xf>
    <xf numFmtId="0" fontId="66" fillId="37" borderId="60" xfId="0" applyFont="1" applyFill="1" applyBorder="1" applyAlignment="1" applyProtection="1">
      <alignment vertical="center"/>
      <protection hidden="1"/>
    </xf>
    <xf numFmtId="0" fontId="2" fillId="37" borderId="61" xfId="0" applyFont="1" applyFill="1" applyBorder="1" applyAlignment="1" applyProtection="1">
      <alignment horizontal="right" vertical="center"/>
      <protection hidden="1"/>
    </xf>
    <xf numFmtId="0" fontId="59" fillId="38" borderId="59" xfId="0" applyFont="1" applyFill="1" applyBorder="1" applyAlignment="1" applyProtection="1">
      <alignment horizontal="left" vertical="center"/>
      <protection hidden="1"/>
    </xf>
    <xf numFmtId="0" fontId="59" fillId="38" borderId="60" xfId="0" applyFont="1" applyFill="1" applyBorder="1" applyAlignment="1" applyProtection="1">
      <alignment horizontal="left" vertical="center"/>
      <protection hidden="1"/>
    </xf>
    <xf numFmtId="0" fontId="59" fillId="38" borderId="60" xfId="0" applyFont="1" applyFill="1" applyBorder="1" applyAlignment="1" applyProtection="1">
      <alignment horizontal="right" vertical="center"/>
      <protection hidden="1"/>
    </xf>
    <xf numFmtId="0" fontId="37" fillId="31" borderId="60" xfId="0" applyFont="1" applyFill="1" applyBorder="1" applyAlignment="1" applyProtection="1">
      <alignment vertical="center"/>
      <protection hidden="1"/>
    </xf>
    <xf numFmtId="0" fontId="34" fillId="31" borderId="60" xfId="0" applyFont="1" applyFill="1" applyBorder="1" applyAlignment="1" applyProtection="1">
      <alignment vertical="center"/>
      <protection hidden="1"/>
    </xf>
    <xf numFmtId="0" fontId="66" fillId="31" borderId="60" xfId="0" applyFont="1" applyFill="1" applyBorder="1" applyAlignment="1" applyProtection="1">
      <alignment vertical="center"/>
      <protection hidden="1"/>
    </xf>
    <xf numFmtId="0" fontId="34" fillId="31" borderId="61" xfId="0" applyFont="1" applyFill="1" applyBorder="1" applyAlignment="1" applyProtection="1">
      <alignment horizontal="right" vertical="center"/>
      <protection hidden="1"/>
    </xf>
    <xf numFmtId="0" fontId="59" fillId="38" borderId="62" xfId="0" applyFont="1" applyFill="1" applyBorder="1" applyAlignment="1" applyProtection="1">
      <alignment horizontal="left" vertical="center"/>
      <protection hidden="1"/>
    </xf>
    <xf numFmtId="49" fontId="33" fillId="38" borderId="0" xfId="0" applyNumberFormat="1"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right" vertical="center"/>
      <protection hidden="1"/>
    </xf>
    <xf numFmtId="49" fontId="27" fillId="24" borderId="0" xfId="0" applyNumberFormat="1" applyFont="1" applyFill="1" applyBorder="1" applyAlignment="1" applyProtection="1">
      <alignment horizontal="left" vertical="center"/>
      <protection locked="0"/>
    </xf>
    <xf numFmtId="49" fontId="33" fillId="0" borderId="0" xfId="0" applyNumberFormat="1"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left" vertical="center"/>
      <protection hidden="1"/>
    </xf>
    <xf numFmtId="49" fontId="27" fillId="24" borderId="0" xfId="0" applyNumberFormat="1" applyFont="1" applyFill="1" applyBorder="1" applyAlignment="1" applyProtection="1">
      <alignment horizontal="right" vertical="center"/>
      <protection locked="0"/>
    </xf>
    <xf numFmtId="0" fontId="34" fillId="24" borderId="0"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protection hidden="1"/>
    </xf>
    <xf numFmtId="49" fontId="27" fillId="0" borderId="63" xfId="0" applyNumberFormat="1" applyFont="1" applyFill="1" applyBorder="1" applyAlignment="1" applyProtection="1">
      <alignment horizontal="left" vertical="center"/>
      <protection hidden="1"/>
    </xf>
    <xf numFmtId="0" fontId="33" fillId="38" borderId="0" xfId="0" applyFont="1" applyFill="1" applyBorder="1" applyAlignment="1" applyProtection="1">
      <alignment vertical="center"/>
      <protection hidden="1"/>
    </xf>
    <xf numFmtId="0" fontId="34" fillId="38" borderId="0" xfId="0" applyFont="1" applyFill="1" applyBorder="1" applyAlignment="1" applyProtection="1">
      <alignment horizontal="right" vertical="center"/>
      <protection hidden="1"/>
    </xf>
    <xf numFmtId="0" fontId="34" fillId="24" borderId="0" xfId="0" applyFont="1" applyFill="1" applyBorder="1" applyAlignment="1" applyProtection="1">
      <alignment vertical="center"/>
      <protection locked="0"/>
    </xf>
    <xf numFmtId="0" fontId="34" fillId="24" borderId="0" xfId="0" applyFont="1" applyFill="1" applyBorder="1" applyAlignment="1" applyProtection="1">
      <alignment horizontal="right" vertical="center"/>
      <protection locked="0"/>
    </xf>
    <xf numFmtId="0" fontId="34" fillId="24"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hidden="1"/>
    </xf>
    <xf numFmtId="0" fontId="34" fillId="0" borderId="63" xfId="0" applyFont="1" applyFill="1" applyBorder="1" applyAlignment="1" applyProtection="1">
      <alignment vertical="center"/>
      <protection hidden="1"/>
    </xf>
    <xf numFmtId="0" fontId="82" fillId="0" borderId="0" xfId="0" applyFont="1" applyFill="1" applyProtection="1">
      <alignment vertical="center"/>
      <protection hidden="1"/>
    </xf>
    <xf numFmtId="0" fontId="82" fillId="38" borderId="62" xfId="0" applyFont="1" applyFill="1" applyBorder="1" applyProtection="1">
      <alignment vertical="center"/>
      <protection hidden="1"/>
    </xf>
    <xf numFmtId="0" fontId="33" fillId="38" borderId="0" xfId="0"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center" vertical="center"/>
      <protection hidden="1"/>
    </xf>
    <xf numFmtId="0" fontId="34" fillId="38" borderId="0" xfId="0" applyFont="1" applyFill="1" applyBorder="1" applyAlignment="1" applyProtection="1">
      <alignment horizontal="left" vertical="center"/>
      <protection hidden="1"/>
    </xf>
    <xf numFmtId="49" fontId="34" fillId="0" borderId="63" xfId="0" applyNumberFormat="1"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9" fillId="38" borderId="65" xfId="0" applyFont="1" applyFill="1" applyBorder="1" applyAlignment="1" applyProtection="1">
      <alignment horizontal="left" vertical="center"/>
      <protection hidden="1"/>
    </xf>
    <xf numFmtId="0" fontId="34" fillId="24" borderId="66" xfId="0" applyFont="1" applyFill="1" applyBorder="1" applyAlignment="1" applyProtection="1">
      <alignment horizontal="left" vertical="center"/>
      <protection locked="0"/>
    </xf>
    <xf numFmtId="0" fontId="34" fillId="38" borderId="66" xfId="0" applyFont="1" applyFill="1" applyBorder="1" applyAlignment="1" applyProtection="1">
      <alignment horizontal="right" vertical="center"/>
      <protection hidden="1"/>
    </xf>
    <xf numFmtId="0" fontId="34" fillId="24" borderId="66" xfId="0" applyFont="1" applyFill="1" applyBorder="1" applyAlignment="1" applyProtection="1">
      <alignment vertical="center"/>
      <protection locked="0"/>
    </xf>
    <xf numFmtId="0" fontId="33" fillId="0" borderId="66" xfId="0" applyFont="1" applyFill="1" applyBorder="1" applyAlignment="1" applyProtection="1">
      <alignment vertical="center"/>
      <protection hidden="1"/>
    </xf>
    <xf numFmtId="0" fontId="34" fillId="24" borderId="66" xfId="0" applyFont="1" applyFill="1" applyBorder="1" applyAlignment="1" applyProtection="1">
      <alignment horizontal="right" vertical="center"/>
      <protection locked="0"/>
    </xf>
    <xf numFmtId="0" fontId="34" fillId="0" borderId="66" xfId="0" applyFont="1" applyFill="1" applyBorder="1" applyAlignment="1" applyProtection="1">
      <alignment horizontal="center" vertical="center"/>
      <protection hidden="1"/>
    </xf>
    <xf numFmtId="0" fontId="34" fillId="0" borderId="67" xfId="0" applyFont="1" applyFill="1" applyBorder="1" applyAlignment="1" applyProtection="1">
      <alignment vertical="center"/>
      <protection hidden="1"/>
    </xf>
    <xf numFmtId="0" fontId="62" fillId="37" borderId="68" xfId="0" applyFont="1" applyFill="1" applyBorder="1" applyAlignment="1" applyProtection="1">
      <alignment horizontal="left" vertical="center"/>
      <protection hidden="1"/>
    </xf>
    <xf numFmtId="0" fontId="100" fillId="37" borderId="69" xfId="0" applyFont="1" applyFill="1" applyBorder="1" applyAlignment="1" applyProtection="1">
      <alignment horizontal="left" vertical="center"/>
      <protection hidden="1"/>
    </xf>
    <xf numFmtId="0" fontId="100" fillId="37" borderId="69" xfId="0" applyFont="1" applyFill="1" applyBorder="1" applyAlignment="1" applyProtection="1">
      <alignment horizontal="right" vertical="center"/>
      <protection hidden="1"/>
    </xf>
    <xf numFmtId="0" fontId="100" fillId="37" borderId="69" xfId="0" applyFont="1" applyFill="1" applyBorder="1" applyAlignment="1" applyProtection="1">
      <alignment vertical="center"/>
      <protection hidden="1"/>
    </xf>
    <xf numFmtId="0" fontId="105" fillId="37" borderId="69" xfId="0" applyFont="1" applyFill="1" applyBorder="1" applyAlignment="1" applyProtection="1">
      <alignment vertical="center"/>
      <protection hidden="1"/>
    </xf>
    <xf numFmtId="0" fontId="105" fillId="37" borderId="71" xfId="0" applyFont="1" applyFill="1" applyBorder="1" applyAlignment="1" applyProtection="1">
      <alignment vertical="center"/>
      <protection hidden="1"/>
    </xf>
    <xf numFmtId="0" fontId="4" fillId="33" borderId="59" xfId="0" applyNumberFormat="1" applyFont="1" applyFill="1" applyBorder="1" applyAlignment="1" applyProtection="1">
      <alignment vertical="center"/>
      <protection hidden="1"/>
    </xf>
    <xf numFmtId="0" fontId="101" fillId="33" borderId="60" xfId="0" applyNumberFormat="1" applyFont="1" applyFill="1" applyBorder="1" applyAlignment="1" applyProtection="1">
      <alignment vertical="center"/>
      <protection hidden="1"/>
    </xf>
    <xf numFmtId="0" fontId="101" fillId="33" borderId="60" xfId="0" applyNumberFormat="1" applyFont="1" applyFill="1" applyBorder="1" applyAlignment="1" applyProtection="1">
      <alignment horizontal="right" vertical="center"/>
      <protection hidden="1"/>
    </xf>
    <xf numFmtId="184" fontId="63" fillId="33" borderId="60" xfId="0" applyNumberFormat="1" applyFont="1" applyFill="1" applyBorder="1" applyAlignment="1" applyProtection="1">
      <alignment horizontal="center" vertical="center"/>
      <protection hidden="1"/>
    </xf>
    <xf numFmtId="0" fontId="82" fillId="33" borderId="60" xfId="0" applyFont="1" applyFill="1" applyBorder="1" applyProtection="1">
      <alignment vertical="center"/>
      <protection hidden="1"/>
    </xf>
    <xf numFmtId="0" fontId="4" fillId="33" borderId="91" xfId="0" applyNumberFormat="1" applyFont="1" applyFill="1" applyBorder="1" applyAlignment="1" applyProtection="1">
      <alignment vertical="center"/>
      <protection hidden="1"/>
    </xf>
    <xf numFmtId="0" fontId="63" fillId="33" borderId="60" xfId="0" applyNumberFormat="1" applyFont="1" applyFill="1" applyBorder="1" applyAlignment="1" applyProtection="1">
      <alignment vertical="center"/>
      <protection hidden="1"/>
    </xf>
    <xf numFmtId="0" fontId="63" fillId="33" borderId="60" xfId="0" applyNumberFormat="1" applyFont="1" applyFill="1" applyBorder="1" applyAlignment="1" applyProtection="1">
      <alignment horizontal="right" vertical="center"/>
      <protection hidden="1"/>
    </xf>
    <xf numFmtId="0" fontId="101" fillId="33" borderId="61" xfId="0" applyNumberFormat="1" applyFont="1" applyFill="1" applyBorder="1" applyAlignment="1" applyProtection="1">
      <alignment vertical="center"/>
      <protection hidden="1"/>
    </xf>
    <xf numFmtId="0" fontId="66" fillId="0" borderId="62" xfId="0" applyFont="1" applyFill="1" applyBorder="1" applyAlignment="1" applyProtection="1">
      <alignment horizontal="left" vertical="center"/>
      <protection hidden="1"/>
    </xf>
    <xf numFmtId="0" fontId="106" fillId="24" borderId="0" xfId="0" applyNumberFormat="1" applyFont="1" applyFill="1" applyBorder="1" applyAlignment="1" applyProtection="1">
      <alignment horizontal="left" vertical="center"/>
      <protection locked="0"/>
    </xf>
    <xf numFmtId="0" fontId="107" fillId="0" borderId="0" xfId="0" applyNumberFormat="1" applyFont="1" applyFill="1" applyBorder="1" applyAlignment="1" applyProtection="1">
      <alignment horizontal="right" vertical="center"/>
      <protection hidden="1"/>
    </xf>
    <xf numFmtId="0" fontId="106" fillId="24" borderId="64" xfId="0" applyNumberFormat="1" applyFont="1" applyFill="1" applyBorder="1" applyAlignment="1" applyProtection="1">
      <alignment horizontal="left" vertical="center"/>
      <protection locked="0"/>
    </xf>
    <xf numFmtId="0" fontId="83" fillId="0" borderId="0" xfId="0" applyFont="1" applyFill="1" applyBorder="1" applyAlignment="1" applyProtection="1">
      <alignment vertical="center"/>
      <protection hidden="1"/>
    </xf>
    <xf numFmtId="0" fontId="66" fillId="0" borderId="65" xfId="0" applyFont="1" applyFill="1" applyBorder="1" applyAlignment="1" applyProtection="1">
      <alignment horizontal="left" vertical="center"/>
      <protection hidden="1"/>
    </xf>
    <xf numFmtId="0" fontId="107" fillId="24" borderId="66" xfId="0" applyNumberFormat="1" applyFont="1" applyFill="1" applyBorder="1" applyAlignment="1" applyProtection="1">
      <alignment horizontal="left" vertical="center"/>
      <protection locked="0"/>
    </xf>
    <xf numFmtId="0" fontId="107" fillId="0" borderId="66" xfId="0" applyNumberFormat="1" applyFont="1" applyFill="1" applyBorder="1" applyAlignment="1" applyProtection="1">
      <alignment horizontal="right" vertical="center"/>
      <protection hidden="1"/>
    </xf>
    <xf numFmtId="0" fontId="107" fillId="24" borderId="83" xfId="0" applyNumberFormat="1" applyFont="1" applyFill="1" applyBorder="1" applyAlignment="1" applyProtection="1">
      <alignment horizontal="left" vertical="center"/>
      <protection locked="0"/>
    </xf>
    <xf numFmtId="0" fontId="40" fillId="0" borderId="66" xfId="0" applyFont="1" applyFill="1" applyBorder="1" applyAlignment="1" applyProtection="1">
      <alignment horizontal="left" vertical="top"/>
      <protection hidden="1"/>
    </xf>
    <xf numFmtId="0" fontId="40" fillId="0" borderId="67" xfId="0" applyFont="1" applyFill="1" applyBorder="1" applyAlignment="1" applyProtection="1">
      <alignment horizontal="left" vertical="top"/>
      <protection hidden="1"/>
    </xf>
    <xf numFmtId="0" fontId="56" fillId="0" borderId="0" xfId="0" applyFont="1" applyFill="1" applyProtection="1">
      <alignment vertical="center"/>
      <protection hidden="1"/>
    </xf>
    <xf numFmtId="0" fontId="108" fillId="0" borderId="52" xfId="0" quotePrefix="1" applyNumberFormat="1" applyFont="1" applyFill="1" applyBorder="1" applyAlignment="1" applyProtection="1">
      <alignment horizontal="left" vertical="center"/>
      <protection hidden="1"/>
    </xf>
    <xf numFmtId="0" fontId="109" fillId="0" borderId="53" xfId="0" applyFont="1" applyFill="1" applyBorder="1" applyAlignment="1" applyProtection="1">
      <alignment horizontal="right" vertical="center"/>
      <protection hidden="1"/>
    </xf>
    <xf numFmtId="0" fontId="59" fillId="0" borderId="53" xfId="0" applyFont="1" applyFill="1" applyBorder="1" applyAlignment="1" applyProtection="1">
      <alignment horizontal="right" vertical="center"/>
      <protection hidden="1"/>
    </xf>
    <xf numFmtId="0" fontId="109" fillId="0" borderId="53" xfId="0" quotePrefix="1" applyNumberFormat="1" applyFont="1" applyFill="1" applyBorder="1" applyAlignment="1" applyProtection="1">
      <alignment horizontal="left" vertical="center"/>
      <protection hidden="1"/>
    </xf>
    <xf numFmtId="0" fontId="56" fillId="0" borderId="53" xfId="0" applyFont="1" applyFill="1" applyBorder="1" applyProtection="1">
      <alignment vertical="center"/>
      <protection hidden="1"/>
    </xf>
    <xf numFmtId="0" fontId="109" fillId="0" borderId="53" xfId="0" quotePrefix="1" applyNumberFormat="1" applyFont="1" applyFill="1" applyBorder="1" applyAlignment="1" applyProtection="1">
      <alignment horizontal="center" vertical="center"/>
      <protection hidden="1"/>
    </xf>
    <xf numFmtId="0" fontId="109" fillId="0" borderId="53" xfId="0" applyFont="1" applyFill="1" applyBorder="1" applyAlignment="1" applyProtection="1">
      <alignment horizontal="center" vertical="center"/>
      <protection hidden="1"/>
    </xf>
    <xf numFmtId="0" fontId="109" fillId="0" borderId="53" xfId="0" applyFont="1" applyFill="1" applyBorder="1" applyAlignment="1" applyProtection="1">
      <alignment vertical="center"/>
      <protection hidden="1"/>
    </xf>
    <xf numFmtId="0" fontId="109" fillId="0" borderId="54" xfId="0" applyFont="1" applyFill="1" applyBorder="1" applyAlignment="1" applyProtection="1">
      <alignment vertical="center"/>
      <protection hidden="1"/>
    </xf>
    <xf numFmtId="0" fontId="108" fillId="0" borderId="64" xfId="0" quotePrefix="1" applyNumberFormat="1" applyFont="1" applyFill="1" applyBorder="1" applyAlignment="1" applyProtection="1">
      <alignment horizontal="left" vertical="center"/>
      <protection hidden="1"/>
    </xf>
    <xf numFmtId="0" fontId="110" fillId="0" borderId="0" xfId="0" applyFont="1" applyFill="1" applyBorder="1" applyAlignment="1" applyProtection="1">
      <alignment horizontal="right" vertical="center"/>
      <protection hidden="1"/>
    </xf>
    <xf numFmtId="0" fontId="109" fillId="0" borderId="0" xfId="0" applyNumberFormat="1" applyFont="1" applyFill="1" applyBorder="1" applyAlignment="1" applyProtection="1">
      <alignment horizontal="center" vertical="center"/>
      <protection hidden="1"/>
    </xf>
    <xf numFmtId="0" fontId="109" fillId="0" borderId="0" xfId="0" applyFont="1" applyFill="1" applyBorder="1" applyAlignment="1" applyProtection="1">
      <alignment horizontal="right" vertical="center"/>
      <protection hidden="1"/>
    </xf>
    <xf numFmtId="0" fontId="60" fillId="0" borderId="0" xfId="0" applyFont="1" applyBorder="1" applyAlignment="1" applyProtection="1">
      <alignment vertical="center"/>
      <protection hidden="1"/>
    </xf>
    <xf numFmtId="0" fontId="60" fillId="0" borderId="0" xfId="0" applyFont="1" applyBorder="1" applyAlignment="1" applyProtection="1">
      <alignment horizontal="center" vertical="center"/>
      <protection hidden="1"/>
    </xf>
    <xf numFmtId="0" fontId="109" fillId="0" borderId="0" xfId="0" applyNumberFormat="1" applyFont="1" applyFill="1" applyBorder="1" applyAlignment="1" applyProtection="1">
      <alignment horizontal="right" vertical="center"/>
      <protection hidden="1"/>
    </xf>
    <xf numFmtId="0" fontId="66" fillId="0" borderId="0" xfId="0" applyFont="1" applyBorder="1" applyAlignment="1" applyProtection="1">
      <alignment vertical="center"/>
      <protection hidden="1"/>
    </xf>
    <xf numFmtId="0" fontId="109" fillId="0" borderId="0" xfId="0" applyFont="1" applyBorder="1" applyAlignment="1" applyProtection="1">
      <alignment horizontal="center" vertical="center"/>
      <protection hidden="1"/>
    </xf>
    <xf numFmtId="0" fontId="109" fillId="0" borderId="17" xfId="0" applyFont="1" applyFill="1" applyBorder="1" applyAlignment="1" applyProtection="1">
      <alignment horizontal="right" vertical="center"/>
      <protection hidden="1"/>
    </xf>
    <xf numFmtId="0" fontId="110" fillId="0" borderId="0" xfId="0" applyNumberFormat="1" applyFont="1" applyFill="1" applyBorder="1" applyAlignment="1" applyProtection="1">
      <alignment horizontal="left" vertical="center"/>
      <protection hidden="1"/>
    </xf>
    <xf numFmtId="0" fontId="110" fillId="0" borderId="0" xfId="0" quotePrefix="1" applyNumberFormat="1" applyFont="1" applyFill="1" applyBorder="1" applyAlignment="1" applyProtection="1">
      <alignment horizontal="left" vertical="center"/>
      <protection hidden="1"/>
    </xf>
    <xf numFmtId="0" fontId="66" fillId="0" borderId="0" xfId="0" quotePrefix="1" applyNumberFormat="1" applyFont="1" applyFill="1" applyBorder="1" applyAlignment="1" applyProtection="1">
      <alignment horizontal="left" vertical="center"/>
      <protection hidden="1"/>
    </xf>
    <xf numFmtId="0" fontId="111" fillId="0" borderId="0" xfId="0" quotePrefix="1"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center" vertical="center"/>
      <protection hidden="1"/>
    </xf>
    <xf numFmtId="0" fontId="66" fillId="0" borderId="17" xfId="0" applyFont="1" applyFill="1" applyBorder="1" applyAlignment="1" applyProtection="1">
      <alignment vertical="center"/>
      <protection hidden="1"/>
    </xf>
    <xf numFmtId="178" fontId="56" fillId="0" borderId="0" xfId="0" applyNumberFormat="1" applyFont="1" applyFill="1" applyBorder="1" applyProtection="1">
      <alignment vertical="center"/>
      <protection hidden="1"/>
    </xf>
    <xf numFmtId="0" fontId="59" fillId="0" borderId="64" xfId="0" applyFont="1" applyFill="1" applyBorder="1" applyAlignment="1" applyProtection="1">
      <alignment horizontal="left" vertical="center"/>
      <protection hidden="1"/>
    </xf>
    <xf numFmtId="0" fontId="110" fillId="0" borderId="0" xfId="0" applyFont="1" applyFill="1" applyBorder="1" applyAlignment="1" applyProtection="1">
      <alignment horizontal="left" vertical="center"/>
      <protection hidden="1"/>
    </xf>
    <xf numFmtId="0" fontId="110" fillId="0" borderId="0" xfId="0" applyFont="1" applyBorder="1" applyAlignment="1" applyProtection="1">
      <alignment horizontal="left" vertical="center"/>
      <protection hidden="1"/>
    </xf>
    <xf numFmtId="0" fontId="111" fillId="0" borderId="0" xfId="0" applyFont="1" applyFill="1" applyBorder="1" applyAlignment="1" applyProtection="1">
      <alignment vertical="center"/>
      <protection hidden="1"/>
    </xf>
    <xf numFmtId="0" fontId="59" fillId="0" borderId="56" xfId="0" applyFont="1" applyFill="1" applyBorder="1" applyAlignment="1" applyProtection="1">
      <alignment horizontal="left" vertical="center"/>
      <protection hidden="1"/>
    </xf>
    <xf numFmtId="0" fontId="110" fillId="0" borderId="57" xfId="0" applyFont="1" applyFill="1" applyBorder="1" applyAlignment="1" applyProtection="1">
      <alignment horizontal="right" vertical="center"/>
      <protection hidden="1"/>
    </xf>
    <xf numFmtId="0" fontId="110" fillId="0" borderId="57" xfId="0" applyFont="1" applyFill="1" applyBorder="1" applyAlignment="1" applyProtection="1">
      <alignment horizontal="left" vertical="center"/>
      <protection hidden="1"/>
    </xf>
    <xf numFmtId="0" fontId="59" fillId="0" borderId="57" xfId="0" applyFont="1" applyBorder="1" applyAlignment="1" applyProtection="1">
      <alignment vertical="center"/>
      <protection hidden="1"/>
    </xf>
    <xf numFmtId="0" fontId="60" fillId="0" borderId="57" xfId="0" applyFont="1" applyBorder="1" applyAlignment="1" applyProtection="1">
      <alignment vertical="center"/>
      <protection hidden="1"/>
    </xf>
    <xf numFmtId="0" fontId="111" fillId="0" borderId="57" xfId="0" applyFont="1" applyFill="1" applyBorder="1" applyAlignment="1" applyProtection="1">
      <alignment vertical="center"/>
      <protection hidden="1"/>
    </xf>
    <xf numFmtId="0" fontId="60" fillId="0" borderId="57" xfId="0" applyFont="1" applyBorder="1" applyAlignment="1" applyProtection="1">
      <alignment horizontal="center" vertical="center"/>
      <protection hidden="1"/>
    </xf>
    <xf numFmtId="0" fontId="66" fillId="0" borderId="57" xfId="0" applyFont="1" applyBorder="1" applyAlignment="1" applyProtection="1">
      <alignment vertical="center"/>
      <protection hidden="1"/>
    </xf>
    <xf numFmtId="0" fontId="66" fillId="0" borderId="58" xfId="0" applyFont="1" applyFill="1" applyBorder="1" applyAlignment="1" applyProtection="1">
      <alignment vertical="center"/>
      <protection hidden="1"/>
    </xf>
    <xf numFmtId="0" fontId="59" fillId="0" borderId="0" xfId="0" applyFont="1" applyBorder="1" applyAlignment="1" applyProtection="1">
      <alignment vertical="center"/>
      <protection hidden="1"/>
    </xf>
    <xf numFmtId="0" fontId="111" fillId="0" borderId="0" xfId="0" applyFont="1" applyBorder="1" applyAlignment="1" applyProtection="1">
      <alignment vertical="center"/>
      <protection hidden="1"/>
    </xf>
    <xf numFmtId="0" fontId="66" fillId="0" borderId="0" xfId="0"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right" vertical="center"/>
      <protection hidden="1"/>
    </xf>
    <xf numFmtId="0" fontId="112" fillId="0" borderId="0" xfId="0" quotePrefix="1" applyNumberFormat="1" applyFont="1" applyFill="1" applyBorder="1" applyAlignment="1" applyProtection="1">
      <alignment horizontal="right" vertical="center"/>
      <protection hidden="1"/>
    </xf>
    <xf numFmtId="0" fontId="114" fillId="37" borderId="59" xfId="0" applyNumberFormat="1" applyFont="1" applyFill="1" applyBorder="1" applyAlignment="1" applyProtection="1">
      <alignment vertical="center"/>
      <protection hidden="1"/>
    </xf>
    <xf numFmtId="0" fontId="115" fillId="37" borderId="60" xfId="0" applyFont="1" applyFill="1" applyBorder="1" applyAlignment="1" applyProtection="1">
      <alignment horizontal="left" vertical="center"/>
      <protection hidden="1"/>
    </xf>
    <xf numFmtId="0" fontId="115" fillId="37" borderId="60" xfId="0" applyFont="1" applyFill="1" applyBorder="1" applyAlignment="1" applyProtection="1">
      <alignment vertical="center"/>
      <protection hidden="1"/>
    </xf>
    <xf numFmtId="0" fontId="114" fillId="37" borderId="60" xfId="0" applyNumberFormat="1" applyFont="1" applyFill="1" applyBorder="1" applyAlignment="1" applyProtection="1">
      <alignment vertical="center"/>
      <protection hidden="1"/>
    </xf>
    <xf numFmtId="0" fontId="116" fillId="37" borderId="61" xfId="0" applyFont="1" applyFill="1" applyBorder="1" applyAlignment="1" applyProtection="1">
      <alignment vertical="center"/>
      <protection hidden="1"/>
    </xf>
    <xf numFmtId="0" fontId="28" fillId="0" borderId="0" xfId="0" applyFont="1" applyFill="1" applyProtection="1">
      <alignment vertical="center"/>
      <protection hidden="1"/>
    </xf>
    <xf numFmtId="182" fontId="37" fillId="0" borderId="0" xfId="0" applyNumberFormat="1" applyFont="1" applyFill="1" applyAlignment="1" applyProtection="1">
      <alignment horizontal="left"/>
      <protection hidden="1"/>
    </xf>
    <xf numFmtId="182" fontId="37" fillId="0" borderId="0" xfId="0" applyNumberFormat="1" applyFont="1" applyFill="1" applyBorder="1" applyAlignment="1" applyProtection="1">
      <alignment horizontal="left"/>
      <protection hidden="1"/>
    </xf>
    <xf numFmtId="0" fontId="111" fillId="0" borderId="0" xfId="0" applyFont="1" applyFill="1" applyBorder="1" applyAlignment="1" applyProtection="1">
      <alignment horizontal="right" vertical="top"/>
      <protection hidden="1"/>
    </xf>
    <xf numFmtId="0" fontId="118" fillId="0" borderId="69" xfId="0" applyFont="1" applyFill="1" applyBorder="1" applyAlignment="1" applyProtection="1">
      <alignment horizontal="center" vertical="center"/>
      <protection hidden="1"/>
    </xf>
    <xf numFmtId="0" fontId="28" fillId="39" borderId="10" xfId="0" applyFont="1" applyFill="1" applyBorder="1" applyProtection="1">
      <alignment vertical="center"/>
      <protection hidden="1"/>
    </xf>
    <xf numFmtId="0" fontId="37" fillId="0" borderId="0" xfId="0" applyFont="1" applyFill="1" applyBorder="1" applyAlignment="1" applyProtection="1">
      <alignment vertical="top"/>
      <protection hidden="1"/>
    </xf>
    <xf numFmtId="186" fontId="34" fillId="0" borderId="0" xfId="0" applyNumberFormat="1" applyFont="1" applyFill="1" applyBorder="1" applyProtection="1">
      <alignment vertical="center"/>
      <protection hidden="1"/>
    </xf>
    <xf numFmtId="0" fontId="28" fillId="0" borderId="0" xfId="0" applyFont="1" applyFill="1" applyBorder="1" applyAlignment="1" applyProtection="1">
      <alignment horizontal="center" vertical="justify"/>
      <protection hidden="1"/>
    </xf>
    <xf numFmtId="0" fontId="26" fillId="0" borderId="0" xfId="0" applyFont="1" applyFill="1" applyBorder="1" applyAlignment="1" applyProtection="1">
      <alignment horizontal="center" vertical="justify"/>
      <protection hidden="1"/>
    </xf>
    <xf numFmtId="0" fontId="119" fillId="0" borderId="0" xfId="0" applyFont="1" applyFill="1" applyProtection="1">
      <alignment vertical="center"/>
      <protection hidden="1"/>
    </xf>
    <xf numFmtId="0" fontId="120" fillId="0" borderId="0" xfId="0" applyFont="1" applyFill="1" applyAlignment="1" applyProtection="1">
      <alignment horizontal="left"/>
      <protection hidden="1"/>
    </xf>
    <xf numFmtId="0" fontId="121" fillId="0" borderId="0" xfId="0" applyFont="1" applyFill="1" applyProtection="1">
      <alignment vertical="center"/>
      <protection hidden="1"/>
    </xf>
    <xf numFmtId="0" fontId="6" fillId="0" borderId="0" xfId="0" applyFont="1" applyFill="1" applyProtection="1">
      <alignment vertical="center"/>
      <protection hidden="1"/>
    </xf>
    <xf numFmtId="182" fontId="106" fillId="0" borderId="0" xfId="0" applyNumberFormat="1" applyFont="1" applyFill="1" applyAlignment="1" applyProtection="1">
      <alignment horizontal="left"/>
      <protection hidden="1"/>
    </xf>
    <xf numFmtId="0" fontId="23" fillId="0" borderId="0" xfId="0" applyFont="1" applyFill="1" applyProtection="1">
      <alignment vertical="center"/>
      <protection hidden="1"/>
    </xf>
    <xf numFmtId="0" fontId="84" fillId="37" borderId="69" xfId="0" applyFont="1" applyFill="1" applyBorder="1" applyAlignment="1" applyProtection="1">
      <alignment horizontal="left" vertical="center"/>
      <protection hidden="1"/>
    </xf>
    <xf numFmtId="0" fontId="122" fillId="37" borderId="69" xfId="0" applyFont="1" applyFill="1" applyBorder="1" applyAlignment="1" applyProtection="1">
      <alignment vertical="center"/>
      <protection hidden="1"/>
    </xf>
    <xf numFmtId="0" fontId="31" fillId="37" borderId="69" xfId="0" applyNumberFormat="1" applyFont="1" applyFill="1" applyBorder="1" applyAlignment="1" applyProtection="1">
      <alignment horizontal="left" vertical="center"/>
      <protection hidden="1"/>
    </xf>
    <xf numFmtId="182" fontId="37" fillId="37" borderId="69" xfId="0" applyNumberFormat="1" applyFont="1" applyFill="1" applyBorder="1" applyAlignment="1" applyProtection="1">
      <alignment horizontal="left" vertical="center"/>
      <protection hidden="1"/>
    </xf>
    <xf numFmtId="182" fontId="37" fillId="37" borderId="60" xfId="0" applyNumberFormat="1" applyFont="1" applyFill="1" applyBorder="1" applyAlignment="1" applyProtection="1">
      <alignment horizontal="left" vertical="center"/>
      <protection hidden="1"/>
    </xf>
    <xf numFmtId="185" fontId="31" fillId="37" borderId="71" xfId="0" applyNumberFormat="1" applyFont="1" applyFill="1" applyBorder="1" applyAlignment="1" applyProtection="1">
      <alignment vertical="center"/>
      <protection hidden="1"/>
    </xf>
    <xf numFmtId="187" fontId="53" fillId="0" borderId="0" xfId="0" applyNumberFormat="1" applyFont="1" applyFill="1" applyAlignment="1" applyProtection="1">
      <alignment horizontal="center"/>
      <protection hidden="1"/>
    </xf>
    <xf numFmtId="0" fontId="26" fillId="0" borderId="26" xfId="0" applyFont="1" applyFill="1" applyBorder="1" applyAlignment="1" applyProtection="1">
      <alignment horizontal="center" vertical="justify"/>
      <protection hidden="1"/>
    </xf>
    <xf numFmtId="0" fontId="29" fillId="0" borderId="0" xfId="0" applyFont="1" applyFill="1" applyProtection="1">
      <alignment vertical="center"/>
      <protection hidden="1"/>
    </xf>
    <xf numFmtId="0" fontId="23" fillId="27" borderId="59" xfId="0" applyNumberFormat="1" applyFont="1" applyFill="1" applyBorder="1" applyAlignment="1" applyProtection="1">
      <alignment vertical="center"/>
      <protection hidden="1"/>
    </xf>
    <xf numFmtId="0" fontId="84" fillId="27" borderId="60" xfId="0" applyFont="1" applyFill="1" applyBorder="1" applyAlignment="1" applyProtection="1">
      <alignment horizontal="left" vertical="center"/>
      <protection hidden="1"/>
    </xf>
    <xf numFmtId="0" fontId="117" fillId="27" borderId="60" xfId="0" applyFont="1" applyFill="1" applyBorder="1" applyAlignment="1" applyProtection="1">
      <alignment vertical="center"/>
      <protection hidden="1"/>
    </xf>
    <xf numFmtId="0" fontId="118" fillId="27" borderId="60" xfId="0" applyFont="1" applyFill="1" applyBorder="1" applyAlignment="1" applyProtection="1">
      <alignment vertical="center"/>
      <protection hidden="1"/>
    </xf>
    <xf numFmtId="0" fontId="118" fillId="27" borderId="61" xfId="0" applyFont="1" applyFill="1" applyBorder="1" applyAlignment="1" applyProtection="1">
      <alignment vertical="center"/>
      <protection hidden="1"/>
    </xf>
    <xf numFmtId="0" fontId="118" fillId="27" borderId="60" xfId="0" applyFont="1" applyFill="1" applyBorder="1" applyAlignment="1" applyProtection="1">
      <alignment horizontal="center" vertical="center"/>
      <protection hidden="1"/>
    </xf>
    <xf numFmtId="182" fontId="23" fillId="27" borderId="59" xfId="0" applyNumberFormat="1" applyFont="1" applyFill="1" applyBorder="1" applyAlignment="1" applyProtection="1">
      <alignment horizontal="centerContinuous" vertical="center"/>
      <protection hidden="1"/>
    </xf>
    <xf numFmtId="182" fontId="23" fillId="27" borderId="60" xfId="0" applyNumberFormat="1" applyFont="1" applyFill="1" applyBorder="1" applyAlignment="1" applyProtection="1">
      <alignment horizontal="centerContinuous" vertical="center"/>
      <protection hidden="1"/>
    </xf>
    <xf numFmtId="0" fontId="28" fillId="27" borderId="26" xfId="0" applyFont="1" applyFill="1" applyBorder="1" applyAlignment="1" applyProtection="1">
      <alignment horizontal="centerContinuous" vertical="center"/>
      <protection hidden="1"/>
    </xf>
    <xf numFmtId="0" fontId="6" fillId="27" borderId="27" xfId="0" applyFont="1" applyFill="1" applyBorder="1" applyAlignment="1" applyProtection="1">
      <alignment horizontal="centerContinuous" vertical="center"/>
      <protection hidden="1"/>
    </xf>
    <xf numFmtId="0" fontId="6" fillId="27" borderId="50" xfId="0" applyFont="1" applyFill="1" applyBorder="1" applyAlignment="1" applyProtection="1">
      <alignment horizontal="centerContinuous" vertical="center"/>
      <protection hidden="1"/>
    </xf>
    <xf numFmtId="0" fontId="6" fillId="27" borderId="92" xfId="0" applyFont="1" applyFill="1" applyBorder="1" applyAlignment="1" applyProtection="1">
      <alignment horizontal="center" vertical="distributed"/>
      <protection hidden="1"/>
    </xf>
    <xf numFmtId="0" fontId="28" fillId="0" borderId="26" xfId="0" applyFont="1" applyFill="1" applyBorder="1" applyProtection="1">
      <alignment vertical="center"/>
      <protection hidden="1"/>
    </xf>
    <xf numFmtId="0" fontId="26" fillId="0" borderId="27" xfId="0" applyFont="1" applyFill="1" applyBorder="1" applyAlignment="1" applyProtection="1">
      <alignment horizontal="center" vertical="justify"/>
      <protection hidden="1"/>
    </xf>
    <xf numFmtId="0" fontId="28" fillId="0" borderId="50" xfId="0" applyFont="1" applyFill="1" applyBorder="1" applyProtection="1">
      <alignment vertical="center"/>
      <protection hidden="1"/>
    </xf>
    <xf numFmtId="0" fontId="29" fillId="0" borderId="10" xfId="0" applyFont="1" applyFill="1" applyBorder="1" applyProtection="1">
      <alignment vertical="center"/>
      <protection hidden="1"/>
    </xf>
    <xf numFmtId="0" fontId="118" fillId="27" borderId="57" xfId="0" applyFont="1" applyFill="1" applyBorder="1" applyAlignment="1" applyProtection="1">
      <alignment horizontal="center" vertical="top"/>
      <protection hidden="1"/>
    </xf>
    <xf numFmtId="182" fontId="23" fillId="27" borderId="77" xfId="0" applyNumberFormat="1" applyFont="1" applyFill="1" applyBorder="1" applyAlignment="1" applyProtection="1">
      <alignment horizontal="centerContinuous" vertical="top"/>
      <protection hidden="1"/>
    </xf>
    <xf numFmtId="182" fontId="23" fillId="27" borderId="57" xfId="0" applyNumberFormat="1" applyFont="1" applyFill="1" applyBorder="1" applyAlignment="1" applyProtection="1">
      <alignment horizontal="centerContinuous" vertical="top"/>
      <protection hidden="1"/>
    </xf>
    <xf numFmtId="182" fontId="23" fillId="27" borderId="58" xfId="0" applyNumberFormat="1" applyFont="1" applyFill="1" applyBorder="1" applyAlignment="1" applyProtection="1">
      <alignment horizontal="centerContinuous" vertical="top"/>
      <protection hidden="1"/>
    </xf>
    <xf numFmtId="185" fontId="26" fillId="27" borderId="93" xfId="0" applyNumberFormat="1" applyFont="1" applyFill="1" applyBorder="1" applyAlignment="1" applyProtection="1">
      <alignment horizontal="center" vertical="center" wrapText="1"/>
      <protection hidden="1"/>
    </xf>
    <xf numFmtId="185" fontId="84" fillId="27" borderId="94" xfId="0" applyNumberFormat="1" applyFont="1" applyFill="1" applyBorder="1" applyAlignment="1" applyProtection="1">
      <alignment horizontal="center" vertical="center" wrapText="1"/>
      <protection hidden="1"/>
    </xf>
    <xf numFmtId="185" fontId="26" fillId="27" borderId="57" xfId="0" applyNumberFormat="1" applyFont="1" applyFill="1" applyBorder="1" applyAlignment="1" applyProtection="1">
      <alignment horizontal="center" vertical="center" wrapText="1"/>
      <protection hidden="1"/>
    </xf>
    <xf numFmtId="185" fontId="84" fillId="27" borderId="95" xfId="0" applyNumberFormat="1" applyFont="1" applyFill="1" applyBorder="1" applyAlignment="1" applyProtection="1">
      <alignment horizontal="center" vertical="center" wrapText="1"/>
      <protection hidden="1"/>
    </xf>
    <xf numFmtId="185" fontId="15" fillId="27" borderId="96" xfId="0" applyNumberFormat="1" applyFont="1" applyFill="1" applyBorder="1" applyAlignment="1" applyProtection="1">
      <alignment horizontal="center" vertical="top" wrapText="1"/>
      <protection hidden="1"/>
    </xf>
    <xf numFmtId="0" fontId="28" fillId="27" borderId="10" xfId="0" applyFont="1" applyFill="1" applyBorder="1" applyAlignment="1" applyProtection="1">
      <alignment horizontal="center" vertical="center" shrinkToFit="1"/>
      <protection hidden="1"/>
    </xf>
    <xf numFmtId="187" fontId="39" fillId="40" borderId="55" xfId="0" applyNumberFormat="1" applyFont="1" applyFill="1" applyBorder="1" applyAlignment="1" applyProtection="1">
      <alignment horizontal="left" vertical="center" wrapText="1"/>
      <protection hidden="1"/>
    </xf>
    <xf numFmtId="0" fontId="28" fillId="0" borderId="55" xfId="0" applyFont="1" applyFill="1" applyBorder="1" applyAlignment="1" applyProtection="1">
      <alignment horizontal="center" vertical="justify"/>
      <protection hidden="1"/>
    </xf>
    <xf numFmtId="0" fontId="28" fillId="0" borderId="10" xfId="0" applyFont="1" applyFill="1" applyBorder="1" applyAlignment="1" applyProtection="1">
      <alignment horizontal="center" vertical="justify"/>
      <protection hidden="1"/>
    </xf>
    <xf numFmtId="0" fontId="124" fillId="33" borderId="0" xfId="0" applyFont="1" applyFill="1" applyBorder="1" applyProtection="1">
      <alignment vertical="center"/>
      <protection hidden="1"/>
    </xf>
    <xf numFmtId="182" fontId="37" fillId="33" borderId="62"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protection hidden="1"/>
    </xf>
    <xf numFmtId="182" fontId="37" fillId="33" borderId="97" xfId="0" applyNumberFormat="1" applyFont="1" applyFill="1" applyBorder="1" applyAlignment="1" applyProtection="1">
      <alignment horizontal="left"/>
      <protection hidden="1"/>
    </xf>
    <xf numFmtId="198" fontId="101" fillId="33" borderId="98" xfId="0" applyNumberFormat="1" applyFont="1" applyFill="1" applyBorder="1" applyAlignment="1" applyProtection="1">
      <alignment horizontal="center" vertical="center"/>
      <protection hidden="1"/>
    </xf>
    <xf numFmtId="185" fontId="29" fillId="33" borderId="0" xfId="0" applyNumberFormat="1" applyFont="1" applyFill="1" applyBorder="1" applyAlignment="1" applyProtection="1">
      <alignment horizontal="center" vertical="center"/>
      <protection hidden="1"/>
    </xf>
    <xf numFmtId="198" fontId="101" fillId="33" borderId="99" xfId="0" applyNumberFormat="1" applyFont="1" applyFill="1" applyBorder="1" applyAlignment="1" applyProtection="1">
      <alignment horizontal="center" vertical="center"/>
      <protection hidden="1"/>
    </xf>
    <xf numFmtId="185" fontId="63" fillId="33" borderId="100" xfId="0" applyNumberFormat="1" applyFont="1" applyFill="1" applyBorder="1" applyAlignment="1" applyProtection="1">
      <alignment horizontal="center" vertical="center"/>
      <protection hidden="1"/>
    </xf>
    <xf numFmtId="0" fontId="53" fillId="0" borderId="10" xfId="0" applyNumberFormat="1" applyFont="1" applyFill="1" applyBorder="1" applyAlignment="1" applyProtection="1">
      <alignment horizontal="center" vertical="center" wrapText="1"/>
      <protection hidden="1"/>
    </xf>
    <xf numFmtId="0" fontId="26" fillId="0" borderId="10" xfId="0" applyNumberFormat="1" applyFont="1" applyFill="1" applyBorder="1" applyAlignment="1" applyProtection="1">
      <alignment horizontal="center" vertical="justify"/>
      <protection hidden="1"/>
    </xf>
    <xf numFmtId="0" fontId="23" fillId="31" borderId="101" xfId="0" applyFont="1" applyFill="1" applyBorder="1" applyAlignment="1" applyProtection="1">
      <alignment vertical="center"/>
      <protection hidden="1"/>
    </xf>
    <xf numFmtId="0" fontId="23" fillId="31" borderId="102" xfId="0" applyNumberFormat="1" applyFont="1" applyFill="1" applyBorder="1" applyAlignment="1" applyProtection="1">
      <alignment horizontal="left" vertical="center"/>
      <protection hidden="1"/>
    </xf>
    <xf numFmtId="0" fontId="33" fillId="31" borderId="103" xfId="0" applyNumberFormat="1" applyFont="1" applyFill="1" applyBorder="1" applyAlignment="1" applyProtection="1">
      <alignment horizontal="left" vertical="center"/>
      <protection hidden="1"/>
    </xf>
    <xf numFmtId="0" fontId="125" fillId="31" borderId="102" xfId="0" applyNumberFormat="1" applyFont="1" applyFill="1" applyBorder="1" applyAlignment="1" applyProtection="1">
      <alignment horizontal="center" vertical="center"/>
      <protection hidden="1"/>
    </xf>
    <xf numFmtId="182" fontId="37" fillId="31" borderId="104"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protection hidden="1"/>
    </xf>
    <xf numFmtId="182" fontId="37" fillId="31" borderId="105" xfId="0" applyNumberFormat="1" applyFont="1" applyFill="1" applyBorder="1" applyAlignment="1" applyProtection="1">
      <alignment horizontal="left"/>
      <protection hidden="1"/>
    </xf>
    <xf numFmtId="198" fontId="126" fillId="31" borderId="106" xfId="0" applyNumberFormat="1" applyFont="1" applyFill="1" applyBorder="1" applyAlignment="1" applyProtection="1">
      <alignment horizontal="center" vertical="center"/>
      <protection hidden="1"/>
    </xf>
    <xf numFmtId="185" fontId="127" fillId="31" borderId="102" xfId="0" applyNumberFormat="1" applyFont="1" applyFill="1" applyBorder="1" applyAlignment="1" applyProtection="1">
      <alignment horizontal="center" vertical="center"/>
      <protection hidden="1"/>
    </xf>
    <xf numFmtId="198" fontId="126" fillId="31" borderId="107" xfId="0" applyNumberFormat="1" applyFont="1" applyFill="1" applyBorder="1" applyAlignment="1" applyProtection="1">
      <alignment horizontal="center" vertical="center"/>
      <protection hidden="1"/>
    </xf>
    <xf numFmtId="185" fontId="127" fillId="31" borderId="108" xfId="0" applyNumberFormat="1" applyFont="1" applyFill="1" applyBorder="1" applyAlignment="1" applyProtection="1">
      <alignment horizontal="center" vertical="center"/>
      <protection hidden="1"/>
    </xf>
    <xf numFmtId="0" fontId="126" fillId="0" borderId="10" xfId="0" applyNumberFormat="1" applyFont="1" applyFill="1" applyBorder="1" applyAlignment="1" applyProtection="1">
      <alignment horizontal="center" vertical="center"/>
      <protection hidden="1"/>
    </xf>
    <xf numFmtId="0" fontId="29" fillId="0" borderId="51" xfId="0" applyFont="1" applyFill="1" applyBorder="1" applyProtection="1">
      <alignment vertical="center"/>
      <protection hidden="1"/>
    </xf>
    <xf numFmtId="0" fontId="23" fillId="27" borderId="62" xfId="0" quotePrefix="1" applyFont="1" applyFill="1" applyBorder="1" applyAlignment="1" applyProtection="1">
      <alignment vertical="center"/>
      <protection hidden="1"/>
    </xf>
    <xf numFmtId="0" fontId="125" fillId="27" borderId="109" xfId="0" applyNumberFormat="1" applyFont="1" applyFill="1" applyBorder="1" applyAlignment="1" applyProtection="1">
      <alignment horizontal="left" vertical="center"/>
      <protection hidden="1"/>
    </xf>
    <xf numFmtId="0" fontId="125" fillId="27" borderId="0" xfId="0" applyNumberFormat="1" applyFont="1" applyFill="1" applyBorder="1" applyAlignment="1" applyProtection="1">
      <alignment horizontal="left" vertical="center"/>
      <protection hidden="1"/>
    </xf>
    <xf numFmtId="0" fontId="125" fillId="27" borderId="0" xfId="0" applyNumberFormat="1" applyFont="1" applyFill="1" applyBorder="1" applyAlignment="1" applyProtection="1">
      <alignment vertical="center"/>
      <protection hidden="1"/>
    </xf>
    <xf numFmtId="0" fontId="128" fillId="27" borderId="63" xfId="0" applyFont="1" applyFill="1" applyBorder="1" applyAlignment="1" applyProtection="1">
      <alignment vertical="center"/>
      <protection hidden="1"/>
    </xf>
    <xf numFmtId="0" fontId="125" fillId="0" borderId="0" xfId="0" applyNumberFormat="1" applyFont="1" applyFill="1" applyBorder="1" applyAlignment="1" applyProtection="1">
      <alignment horizontal="center" vertical="center"/>
      <protection hidden="1"/>
    </xf>
    <xf numFmtId="182" fontId="28" fillId="0" borderId="62" xfId="0" applyNumberFormat="1" applyFont="1" applyFill="1" applyBorder="1" applyAlignment="1" applyProtection="1">
      <alignment horizontal="left" vertical="center" wrapText="1"/>
      <protection locked="0"/>
    </xf>
    <xf numFmtId="182" fontId="28" fillId="0" borderId="0" xfId="0" applyNumberFormat="1" applyFont="1" applyFill="1" applyBorder="1" applyAlignment="1" applyProtection="1">
      <alignment horizontal="left" vertical="center" wrapText="1"/>
      <protection locked="0"/>
    </xf>
    <xf numFmtId="182" fontId="37" fillId="0" borderId="0" xfId="0" applyNumberFormat="1" applyFont="1" applyFill="1" applyBorder="1" applyAlignment="1" applyProtection="1">
      <alignment horizontal="left" wrapText="1"/>
      <protection locked="0"/>
    </xf>
    <xf numFmtId="185" fontId="36" fillId="27" borderId="110" xfId="0" applyNumberFormat="1" applyFont="1" applyFill="1" applyBorder="1" applyAlignment="1" applyProtection="1">
      <alignment horizontal="center" vertical="center"/>
      <protection hidden="1"/>
    </xf>
    <xf numFmtId="198" fontId="129" fillId="27" borderId="98" xfId="0" applyNumberFormat="1" applyFont="1" applyFill="1" applyBorder="1" applyAlignment="1" applyProtection="1">
      <alignment horizontal="center" vertical="center"/>
      <protection hidden="1"/>
    </xf>
    <xf numFmtId="198" fontId="129" fillId="27" borderId="99" xfId="0" applyNumberFormat="1" applyFont="1" applyFill="1" applyBorder="1" applyAlignment="1" applyProtection="1">
      <alignment horizontal="center" vertical="center"/>
      <protection hidden="1"/>
    </xf>
    <xf numFmtId="185" fontId="126" fillId="27" borderId="100" xfId="0" applyNumberFormat="1" applyFont="1" applyFill="1" applyBorder="1" applyAlignment="1" applyProtection="1">
      <alignment horizontal="center" vertical="center"/>
      <protection hidden="1"/>
    </xf>
    <xf numFmtId="0" fontId="36" fillId="27" borderId="10" xfId="0" applyNumberFormat="1" applyFont="1" applyFill="1" applyBorder="1" applyAlignment="1" applyProtection="1">
      <alignment horizontal="center" vertical="center"/>
      <protection hidden="1"/>
    </xf>
    <xf numFmtId="0" fontId="129" fillId="0" borderId="10" xfId="0" applyNumberFormat="1"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0" fontId="29" fillId="41" borderId="10" xfId="0" applyFont="1" applyFill="1" applyBorder="1" applyProtection="1">
      <alignment vertical="center"/>
      <protection hidden="1"/>
    </xf>
    <xf numFmtId="0" fontId="125" fillId="27" borderId="62" xfId="0" applyFont="1" applyFill="1" applyBorder="1" applyAlignment="1" applyProtection="1">
      <alignment horizontal="center"/>
      <protection hidden="1"/>
    </xf>
    <xf numFmtId="0" fontId="23" fillId="27" borderId="52" xfId="0" applyFont="1" applyFill="1" applyBorder="1" applyAlignment="1" applyProtection="1">
      <alignment vertical="center"/>
      <protection hidden="1"/>
    </xf>
    <xf numFmtId="0" fontId="33" fillId="27" borderId="53" xfId="0" applyFont="1" applyFill="1" applyBorder="1" applyAlignment="1" applyProtection="1">
      <alignment vertical="center"/>
      <protection hidden="1"/>
    </xf>
    <xf numFmtId="0" fontId="33" fillId="27" borderId="50" xfId="0" applyFont="1" applyFill="1" applyBorder="1" applyAlignment="1" applyProtection="1">
      <alignment vertical="center"/>
      <protection hidden="1"/>
    </xf>
    <xf numFmtId="0" fontId="33" fillId="27" borderId="82" xfId="0" applyFont="1" applyFill="1" applyBorder="1" applyAlignment="1" applyProtection="1">
      <alignment vertical="center"/>
      <protection hidden="1"/>
    </xf>
    <xf numFmtId="0" fontId="106" fillId="0" borderId="0" xfId="0" quotePrefix="1" applyNumberFormat="1" applyFont="1" applyFill="1" applyBorder="1" applyAlignment="1" applyProtection="1">
      <alignment horizontal="center" vertical="center"/>
      <protection hidden="1"/>
    </xf>
    <xf numFmtId="182" fontId="28" fillId="0" borderId="89" xfId="0" applyNumberFormat="1" applyFont="1" applyFill="1" applyBorder="1" applyAlignment="1" applyProtection="1">
      <alignment horizontal="left" vertical="center" wrapText="1"/>
      <protection locked="0"/>
    </xf>
    <xf numFmtId="182" fontId="28" fillId="0" borderId="53" xfId="0" applyNumberFormat="1" applyFont="1" applyFill="1" applyBorder="1" applyAlignment="1" applyProtection="1">
      <alignment horizontal="left" vertical="center" wrapText="1"/>
      <protection locked="0"/>
    </xf>
    <xf numFmtId="182" fontId="37" fillId="0" borderId="53" xfId="0" applyNumberFormat="1" applyFont="1" applyFill="1" applyBorder="1" applyAlignment="1" applyProtection="1">
      <alignment horizontal="left" wrapText="1"/>
      <protection locked="0"/>
    </xf>
    <xf numFmtId="185" fontId="36" fillId="27" borderId="111" xfId="0" applyNumberFormat="1" applyFont="1" applyFill="1" applyBorder="1" applyAlignment="1" applyProtection="1">
      <alignment horizontal="center" vertical="center"/>
      <protection hidden="1"/>
    </xf>
    <xf numFmtId="198" fontId="129" fillId="27" borderId="53" xfId="0" applyNumberFormat="1" applyFont="1" applyFill="1" applyBorder="1" applyAlignment="1" applyProtection="1">
      <alignment horizontal="center" vertical="center"/>
      <protection hidden="1"/>
    </xf>
    <xf numFmtId="185" fontId="126" fillId="27" borderId="112" xfId="0" applyNumberFormat="1" applyFont="1" applyFill="1" applyBorder="1" applyAlignment="1" applyProtection="1">
      <alignment horizontal="center" vertical="center"/>
      <protection hidden="1"/>
    </xf>
    <xf numFmtId="0" fontId="28" fillId="0" borderId="66" xfId="0" applyFont="1" applyFill="1" applyBorder="1" applyAlignment="1" applyProtection="1">
      <alignment horizontal="center" vertical="justify"/>
      <protection hidden="1"/>
    </xf>
    <xf numFmtId="0" fontId="130" fillId="27" borderId="64" xfId="29" applyFont="1" applyFill="1" applyBorder="1" applyAlignment="1" applyProtection="1">
      <alignment horizontal="center" vertical="center"/>
      <protection hidden="1"/>
    </xf>
    <xf numFmtId="0" fontId="33" fillId="27" borderId="10" xfId="0" applyFont="1" applyFill="1" applyBorder="1" applyAlignment="1" applyProtection="1">
      <alignment horizontal="center" vertical="center"/>
      <protection hidden="1"/>
    </xf>
    <xf numFmtId="0" fontId="33" fillId="27" borderId="57" xfId="0" applyFont="1" applyFill="1" applyBorder="1" applyAlignment="1" applyProtection="1">
      <alignment vertical="center"/>
      <protection hidden="1"/>
    </xf>
    <xf numFmtId="0" fontId="33" fillId="27" borderId="79" xfId="0" applyFont="1" applyFill="1" applyBorder="1" applyAlignment="1" applyProtection="1">
      <alignment vertical="center"/>
      <protection hidden="1"/>
    </xf>
    <xf numFmtId="182" fontId="28" fillId="0" borderId="62" xfId="0" applyNumberFormat="1" applyFont="1" applyFill="1" applyBorder="1" applyAlignment="1" applyProtection="1">
      <alignment horizontal="left" vertical="top" wrapText="1"/>
      <protection locked="0"/>
    </xf>
    <xf numFmtId="185" fontId="29" fillId="0" borderId="92" xfId="0" applyNumberFormat="1" applyFont="1" applyFill="1" applyBorder="1" applyAlignment="1" applyProtection="1">
      <alignment horizontal="center" vertical="center"/>
      <protection hidden="1"/>
    </xf>
    <xf numFmtId="198" fontId="129" fillId="27" borderId="0" xfId="0" applyNumberFormat="1" applyFont="1" applyFill="1" applyBorder="1" applyAlignment="1" applyProtection="1">
      <alignment horizontal="center" vertical="center"/>
      <protection hidden="1"/>
    </xf>
    <xf numFmtId="177" fontId="29" fillId="0" borderId="113" xfId="0" applyNumberFormat="1" applyFont="1" applyFill="1" applyBorder="1" applyAlignment="1" applyProtection="1">
      <alignment horizontal="center" vertical="center"/>
      <protection hidden="1"/>
    </xf>
    <xf numFmtId="177" fontId="29" fillId="0" borderId="114" xfId="0" applyNumberFormat="1" applyFont="1" applyFill="1" applyBorder="1" applyAlignment="1" applyProtection="1">
      <alignment horizontal="center" vertical="center"/>
      <protection hidden="1"/>
    </xf>
    <xf numFmtId="177" fontId="53" fillId="40" borderId="10" xfId="0" applyNumberFormat="1" applyFont="1" applyFill="1" applyBorder="1" applyAlignment="1" applyProtection="1">
      <alignment horizontal="center" vertical="center"/>
      <protection hidden="1"/>
    </xf>
    <xf numFmtId="0" fontId="130" fillId="27" borderId="56" xfId="29" applyFont="1" applyFill="1" applyBorder="1" applyAlignment="1" applyProtection="1">
      <alignment horizontal="center" vertical="center"/>
      <protection hidden="1"/>
    </xf>
    <xf numFmtId="0" fontId="33" fillId="27" borderId="26" xfId="0" applyFont="1" applyFill="1" applyBorder="1" applyAlignment="1" applyProtection="1">
      <alignment vertical="center"/>
      <protection hidden="1"/>
    </xf>
    <xf numFmtId="0" fontId="106" fillId="0" borderId="57" xfId="0" quotePrefix="1" applyNumberFormat="1" applyFont="1" applyFill="1" applyBorder="1" applyAlignment="1" applyProtection="1">
      <alignment horizontal="center" vertical="center"/>
      <protection hidden="1"/>
    </xf>
    <xf numFmtId="185" fontId="29" fillId="0" borderId="115" xfId="0" applyNumberFormat="1" applyFont="1" applyFill="1" applyBorder="1" applyAlignment="1" applyProtection="1">
      <alignment horizontal="center" vertical="center"/>
      <protection hidden="1"/>
    </xf>
    <xf numFmtId="177" fontId="29" fillId="0" borderId="116" xfId="0" applyNumberFormat="1" applyFont="1" applyFill="1" applyBorder="1" applyAlignment="1" applyProtection="1">
      <alignment horizontal="center" vertical="center"/>
      <protection hidden="1"/>
    </xf>
    <xf numFmtId="177" fontId="29" fillId="0" borderId="117" xfId="0" applyNumberFormat="1" applyFont="1" applyFill="1" applyBorder="1" applyAlignment="1" applyProtection="1">
      <alignment horizontal="center" vertical="center"/>
      <protection hidden="1"/>
    </xf>
    <xf numFmtId="0" fontId="23" fillId="27" borderId="64" xfId="0" applyFont="1" applyFill="1" applyBorder="1" applyAlignment="1" applyProtection="1">
      <alignment vertical="center"/>
      <protection hidden="1"/>
    </xf>
    <xf numFmtId="0" fontId="33" fillId="27" borderId="0" xfId="0" applyFont="1" applyFill="1" applyBorder="1" applyAlignment="1" applyProtection="1">
      <alignment vertical="center"/>
      <protection hidden="1"/>
    </xf>
    <xf numFmtId="0" fontId="33" fillId="27" borderId="63" xfId="0" applyFont="1" applyFill="1" applyBorder="1" applyAlignment="1" applyProtection="1">
      <alignment vertical="center"/>
      <protection hidden="1"/>
    </xf>
    <xf numFmtId="0" fontId="28" fillId="0" borderId="69" xfId="0" applyFont="1" applyFill="1" applyBorder="1" applyAlignment="1" applyProtection="1">
      <alignment horizontal="center" vertical="justify"/>
      <protection hidden="1"/>
    </xf>
    <xf numFmtId="185" fontId="29" fillId="0" borderId="100" xfId="0" applyNumberFormat="1" applyFont="1" applyFill="1" applyBorder="1" applyAlignment="1" applyProtection="1">
      <alignment horizontal="center" vertical="center"/>
      <protection hidden="1"/>
    </xf>
    <xf numFmtId="177" fontId="29" fillId="0" borderId="118" xfId="0" applyNumberFormat="1" applyFont="1" applyFill="1" applyBorder="1" applyAlignment="1" applyProtection="1">
      <alignment horizontal="center" vertical="center"/>
      <protection hidden="1"/>
    </xf>
    <xf numFmtId="177" fontId="29" fillId="0" borderId="119" xfId="0" applyNumberFormat="1" applyFont="1" applyFill="1" applyBorder="1" applyAlignment="1" applyProtection="1">
      <alignment horizontal="center" vertical="center"/>
      <protection hidden="1"/>
    </xf>
    <xf numFmtId="0" fontId="125" fillId="27" borderId="120" xfId="0" applyFont="1" applyFill="1" applyBorder="1" applyAlignment="1" applyProtection="1">
      <alignment horizontal="center"/>
      <protection hidden="1"/>
    </xf>
    <xf numFmtId="0" fontId="23" fillId="27" borderId="26" xfId="0" applyFont="1" applyFill="1" applyBorder="1" applyAlignment="1" applyProtection="1">
      <alignment vertical="center"/>
      <protection hidden="1"/>
    </xf>
    <xf numFmtId="185" fontId="36" fillId="0" borderId="115" xfId="0" applyNumberFormat="1" applyFont="1" applyFill="1" applyBorder="1" applyAlignment="1" applyProtection="1">
      <alignment horizontal="center" vertical="center"/>
      <protection hidden="1"/>
    </xf>
    <xf numFmtId="0" fontId="125" fillId="27" borderId="50" xfId="0" applyNumberFormat="1" applyFont="1" applyFill="1" applyBorder="1" applyAlignment="1" applyProtection="1">
      <alignment horizontal="left" vertical="center"/>
      <protection hidden="1"/>
    </xf>
    <xf numFmtId="0" fontId="128" fillId="27" borderId="0" xfId="0" applyFont="1" applyFill="1" applyBorder="1" applyAlignment="1" applyProtection="1">
      <alignment vertical="center"/>
      <protection hidden="1"/>
    </xf>
    <xf numFmtId="182" fontId="28" fillId="0" borderId="80" xfId="0" applyNumberFormat="1" applyFont="1" applyFill="1" applyBorder="1" applyAlignment="1" applyProtection="1">
      <alignment horizontal="left" vertical="center" wrapText="1"/>
      <protection locked="0"/>
    </xf>
    <xf numFmtId="182" fontId="28" fillId="0" borderId="50" xfId="0" applyNumberFormat="1" applyFont="1" applyFill="1" applyBorder="1" applyAlignment="1" applyProtection="1">
      <alignment horizontal="left" vertical="center" wrapText="1"/>
      <protection locked="0"/>
    </xf>
    <xf numFmtId="182" fontId="37" fillId="0" borderId="50" xfId="0" applyNumberFormat="1" applyFont="1" applyFill="1" applyBorder="1" applyAlignment="1" applyProtection="1">
      <alignment horizontal="left" wrapText="1"/>
      <protection locked="0"/>
    </xf>
    <xf numFmtId="185" fontId="36" fillId="27" borderId="93" xfId="0" applyNumberFormat="1" applyFont="1" applyFill="1" applyBorder="1" applyAlignment="1" applyProtection="1">
      <alignment horizontal="center" vertical="center"/>
      <protection hidden="1"/>
    </xf>
    <xf numFmtId="198" fontId="129" fillId="27" borderId="121" xfId="0" applyNumberFormat="1" applyFont="1" applyFill="1" applyBorder="1" applyAlignment="1" applyProtection="1">
      <alignment horizontal="center" vertical="center"/>
      <protection hidden="1"/>
    </xf>
    <xf numFmtId="198" fontId="129" fillId="27" borderId="122" xfId="0" applyNumberFormat="1" applyFont="1" applyFill="1" applyBorder="1" applyAlignment="1" applyProtection="1">
      <alignment horizontal="center" vertical="center"/>
      <protection hidden="1"/>
    </xf>
    <xf numFmtId="185" fontId="126" fillId="27" borderId="123" xfId="0" applyNumberFormat="1" applyFont="1" applyFill="1" applyBorder="1" applyAlignment="1" applyProtection="1">
      <alignment horizontal="center" vertical="center"/>
      <protection hidden="1"/>
    </xf>
    <xf numFmtId="0" fontId="28" fillId="0" borderId="60" xfId="0" applyFont="1" applyFill="1" applyBorder="1" applyAlignment="1" applyProtection="1">
      <alignment horizontal="center" vertical="justify"/>
      <protection hidden="1"/>
    </xf>
    <xf numFmtId="0" fontId="33" fillId="27" borderId="53" xfId="0" applyNumberFormat="1" applyFont="1" applyFill="1" applyBorder="1" applyAlignment="1" applyProtection="1">
      <alignment horizontal="left" vertical="center"/>
      <protection hidden="1"/>
    </xf>
    <xf numFmtId="0" fontId="128" fillId="27" borderId="53" xfId="0" applyFont="1" applyFill="1" applyBorder="1" applyAlignment="1" applyProtection="1">
      <alignment vertical="center"/>
      <protection hidden="1"/>
    </xf>
    <xf numFmtId="0" fontId="128" fillId="27" borderId="90" xfId="0" applyFont="1" applyFill="1" applyBorder="1" applyAlignment="1" applyProtection="1">
      <alignment vertical="center"/>
      <protection hidden="1"/>
    </xf>
    <xf numFmtId="198" fontId="129" fillId="27" borderId="124" xfId="0" applyNumberFormat="1" applyFont="1" applyFill="1" applyBorder="1" applyAlignment="1" applyProtection="1">
      <alignment horizontal="center" vertical="center"/>
      <protection hidden="1"/>
    </xf>
    <xf numFmtId="185" fontId="36" fillId="27" borderId="53" xfId="0" applyNumberFormat="1" applyFont="1" applyFill="1" applyBorder="1" applyAlignment="1" applyProtection="1">
      <alignment horizontal="center" vertical="center"/>
      <protection hidden="1"/>
    </xf>
    <xf numFmtId="198" fontId="129" fillId="27" borderId="125" xfId="0" applyNumberFormat="1" applyFont="1" applyFill="1" applyBorder="1" applyAlignment="1" applyProtection="1">
      <alignment horizontal="center" vertical="center"/>
      <protection hidden="1"/>
    </xf>
    <xf numFmtId="0" fontId="130" fillId="27" borderId="64" xfId="29" applyNumberFormat="1" applyFont="1" applyFill="1" applyBorder="1" applyAlignment="1" applyProtection="1">
      <alignment horizontal="center" vertical="center"/>
      <protection hidden="1"/>
    </xf>
    <xf numFmtId="0" fontId="128" fillId="27" borderId="82" xfId="0" applyFont="1" applyFill="1" applyBorder="1" applyAlignment="1" applyProtection="1">
      <alignment vertical="center"/>
      <protection hidden="1"/>
    </xf>
    <xf numFmtId="0" fontId="53" fillId="40" borderId="10" xfId="0" applyNumberFormat="1" applyFont="1" applyFill="1" applyBorder="1" applyAlignment="1" applyProtection="1">
      <alignment horizontal="center" vertical="center"/>
      <protection hidden="1"/>
    </xf>
    <xf numFmtId="0" fontId="128" fillId="27" borderId="50" xfId="0" applyFont="1" applyFill="1" applyBorder="1" applyAlignment="1" applyProtection="1">
      <alignment vertical="center"/>
      <protection hidden="1"/>
    </xf>
    <xf numFmtId="185" fontId="36" fillId="0" borderId="100"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center"/>
      <protection hidden="1"/>
    </xf>
    <xf numFmtId="0" fontId="132" fillId="27" borderId="64" xfId="29" applyFont="1" applyFill="1" applyBorder="1" applyAlignment="1" applyProtection="1">
      <alignment horizontal="center" vertical="center"/>
      <protection hidden="1"/>
    </xf>
    <xf numFmtId="0" fontId="38" fillId="0" borderId="0" xfId="0" quotePrefix="1" applyNumberFormat="1" applyFont="1" applyFill="1" applyBorder="1" applyAlignment="1" applyProtection="1">
      <alignment horizontal="center" vertical="center"/>
      <protection hidden="1"/>
    </xf>
    <xf numFmtId="185" fontId="53" fillId="0" borderId="92" xfId="0" applyNumberFormat="1" applyFont="1" applyFill="1" applyBorder="1" applyAlignment="1" applyProtection="1">
      <alignment horizontal="center" vertical="center"/>
      <protection hidden="1"/>
    </xf>
    <xf numFmtId="198" fontId="53" fillId="27" borderId="0" xfId="0" applyNumberFormat="1" applyFont="1" applyFill="1" applyBorder="1" applyAlignment="1" applyProtection="1">
      <alignment horizontal="center" vertical="center"/>
      <protection hidden="1"/>
    </xf>
    <xf numFmtId="185" fontId="53" fillId="0" borderId="126" xfId="0" applyNumberFormat="1" applyFont="1" applyFill="1" applyBorder="1" applyAlignment="1" applyProtection="1">
      <alignment horizontal="center" vertical="center"/>
      <protection hidden="1"/>
    </xf>
    <xf numFmtId="185" fontId="133" fillId="27" borderId="100" xfId="0" applyNumberFormat="1" applyFont="1" applyFill="1" applyBorder="1" applyAlignment="1" applyProtection="1">
      <alignment horizontal="center" vertical="center"/>
      <protection hidden="1"/>
    </xf>
    <xf numFmtId="0" fontId="134" fillId="0" borderId="0" xfId="0" applyFont="1" applyFill="1" applyBorder="1" applyAlignment="1" applyProtection="1">
      <alignment horizontal="center" vertical="justify"/>
      <protection hidden="1"/>
    </xf>
    <xf numFmtId="0" fontId="53" fillId="0" borderId="10" xfId="0" applyNumberFormat="1" applyFont="1" applyFill="1" applyBorder="1" applyAlignment="1" applyProtection="1">
      <alignment horizontal="center" vertical="center"/>
      <protection hidden="1"/>
    </xf>
    <xf numFmtId="0" fontId="53" fillId="0" borderId="10" xfId="0" applyNumberFormat="1" applyFont="1" applyBorder="1" applyAlignment="1" applyProtection="1">
      <alignment horizontal="center" vertical="center"/>
      <protection hidden="1"/>
    </xf>
    <xf numFmtId="0" fontId="134" fillId="0" borderId="10" xfId="0" applyNumberFormat="1" applyFont="1" applyFill="1" applyBorder="1" applyAlignment="1" applyProtection="1">
      <alignment horizontal="center" vertical="justify"/>
      <protection hidden="1"/>
    </xf>
    <xf numFmtId="0" fontId="53" fillId="0" borderId="10" xfId="0" applyFont="1" applyFill="1" applyBorder="1" applyProtection="1">
      <alignment vertical="center"/>
      <protection hidden="1"/>
    </xf>
    <xf numFmtId="0" fontId="53" fillId="0" borderId="0" xfId="0" applyFont="1" applyFill="1" applyProtection="1">
      <alignment vertical="center"/>
      <protection hidden="1"/>
    </xf>
    <xf numFmtId="0" fontId="131" fillId="27" borderId="120" xfId="0" applyNumberFormat="1" applyFont="1" applyFill="1" applyBorder="1" applyAlignment="1" applyProtection="1">
      <alignment horizontal="center" vertical="center"/>
      <protection hidden="1"/>
    </xf>
    <xf numFmtId="0" fontId="132" fillId="27" borderId="56" xfId="29" applyFont="1" applyFill="1" applyBorder="1" applyAlignment="1" applyProtection="1">
      <alignment horizontal="center" vertical="center"/>
      <protection hidden="1"/>
    </xf>
    <xf numFmtId="185" fontId="53" fillId="0" borderId="115" xfId="0" applyNumberFormat="1" applyFont="1" applyFill="1" applyBorder="1" applyAlignment="1" applyProtection="1">
      <alignment horizontal="center" vertical="center"/>
      <protection hidden="1"/>
    </xf>
    <xf numFmtId="185" fontId="53" fillId="0" borderId="127" xfId="0" applyNumberFormat="1" applyFont="1" applyFill="1" applyBorder="1" applyAlignment="1" applyProtection="1">
      <alignment horizontal="center" vertical="center"/>
      <protection hidden="1"/>
    </xf>
    <xf numFmtId="0" fontId="28" fillId="0" borderId="51" xfId="0" applyFont="1" applyFill="1" applyBorder="1" applyAlignment="1" applyProtection="1">
      <alignment horizontal="center" vertical="justify"/>
      <protection hidden="1"/>
    </xf>
    <xf numFmtId="0" fontId="130" fillId="27" borderId="56" xfId="29" applyNumberFormat="1" applyFont="1" applyFill="1" applyBorder="1" applyAlignment="1" applyProtection="1">
      <alignment horizontal="center" vertical="center"/>
      <protection hidden="1"/>
    </xf>
    <xf numFmtId="0" fontId="125" fillId="27" borderId="62" xfId="0" quotePrefix="1" applyNumberFormat="1" applyFont="1" applyFill="1" applyBorder="1" applyAlignment="1" applyProtection="1">
      <alignment horizontal="center" vertical="center"/>
      <protection hidden="1"/>
    </xf>
    <xf numFmtId="185" fontId="36" fillId="27" borderId="97" xfId="0" applyNumberFormat="1" applyFont="1" applyFill="1" applyBorder="1" applyAlignment="1" applyProtection="1">
      <alignment horizontal="center" vertical="center"/>
      <protection hidden="1"/>
    </xf>
    <xf numFmtId="185" fontId="36" fillId="27" borderId="0" xfId="0" applyNumberFormat="1" applyFont="1" applyFill="1" applyBorder="1" applyAlignment="1" applyProtection="1">
      <alignment horizontal="center" vertical="center"/>
      <protection hidden="1"/>
    </xf>
    <xf numFmtId="0" fontId="33" fillId="42" borderId="10" xfId="0" applyFont="1" applyFill="1" applyBorder="1" applyAlignment="1" applyProtection="1">
      <alignment horizontal="center" vertical="center"/>
      <protection hidden="1"/>
    </xf>
    <xf numFmtId="0" fontId="33" fillId="42" borderId="50" xfId="0" applyFont="1" applyFill="1" applyBorder="1" applyAlignment="1" applyProtection="1">
      <alignment vertical="center"/>
      <protection hidden="1"/>
    </xf>
    <xf numFmtId="0" fontId="128" fillId="42" borderId="82" xfId="0" applyFont="1" applyFill="1" applyBorder="1" applyAlignment="1" applyProtection="1">
      <alignment vertical="center"/>
      <protection hidden="1"/>
    </xf>
    <xf numFmtId="0" fontId="0" fillId="0" borderId="0" xfId="0" applyBorder="1" applyAlignment="1" applyProtection="1">
      <alignment horizontal="left" vertical="top" wrapText="1"/>
      <protection locked="0"/>
    </xf>
    <xf numFmtId="0" fontId="125" fillId="27" borderId="62" xfId="0" applyNumberFormat="1" applyFont="1" applyFill="1" applyBorder="1" applyAlignment="1" applyProtection="1">
      <alignment horizontal="center" vertical="center"/>
      <protection hidden="1"/>
    </xf>
    <xf numFmtId="0" fontId="33" fillId="27" borderId="90" xfId="0" applyNumberFormat="1" applyFont="1" applyFill="1" applyBorder="1" applyAlignment="1" applyProtection="1">
      <alignment horizontal="left" vertical="center"/>
      <protection hidden="1"/>
    </xf>
    <xf numFmtId="185" fontId="53" fillId="40" borderId="10" xfId="0" applyNumberFormat="1" applyFont="1" applyFill="1" applyBorder="1" applyAlignment="1" applyProtection="1">
      <alignment horizontal="center" vertical="center"/>
      <protection hidden="1"/>
    </xf>
    <xf numFmtId="0" fontId="125" fillId="27" borderId="77" xfId="0" applyNumberFormat="1" applyFont="1" applyFill="1" applyBorder="1" applyAlignment="1" applyProtection="1">
      <alignment horizontal="center" vertical="center"/>
      <protection hidden="1"/>
    </xf>
    <xf numFmtId="0" fontId="28" fillId="27" borderId="0" xfId="0" applyNumberFormat="1" applyFont="1" applyFill="1" applyBorder="1" applyAlignment="1" applyProtection="1">
      <alignment horizontal="left" vertical="center"/>
      <protection hidden="1"/>
    </xf>
    <xf numFmtId="0" fontId="37" fillId="27" borderId="27" xfId="0" applyFont="1" applyFill="1" applyBorder="1" applyAlignment="1" applyProtection="1">
      <alignment horizontal="center" vertical="center"/>
      <protection hidden="1"/>
    </xf>
    <xf numFmtId="0" fontId="106" fillId="0" borderId="50" xfId="0" quotePrefix="1" applyNumberFormat="1" applyFont="1" applyFill="1" applyBorder="1" applyAlignment="1" applyProtection="1">
      <alignment horizontal="center" vertical="center"/>
      <protection hidden="1"/>
    </xf>
    <xf numFmtId="0" fontId="128" fillId="27" borderId="79" xfId="0" applyFont="1" applyFill="1" applyBorder="1" applyAlignment="1" applyProtection="1">
      <alignment vertical="center"/>
      <protection hidden="1"/>
    </xf>
    <xf numFmtId="185" fontId="29" fillId="0" borderId="126" xfId="0" applyNumberFormat="1" applyFont="1" applyFill="1" applyBorder="1" applyAlignment="1" applyProtection="1">
      <alignment horizontal="center" vertical="center"/>
      <protection hidden="1"/>
    </xf>
    <xf numFmtId="177" fontId="29" fillId="0" borderId="92" xfId="0" applyNumberFormat="1" applyFont="1" applyFill="1" applyBorder="1" applyAlignment="1" applyProtection="1">
      <alignment horizontal="center" vertical="center"/>
      <protection hidden="1"/>
    </xf>
    <xf numFmtId="0" fontId="28" fillId="0" borderId="62" xfId="0" applyFont="1" applyFill="1" applyBorder="1" applyAlignment="1" applyProtection="1">
      <alignment horizontal="center" vertical="justify"/>
      <protection hidden="1"/>
    </xf>
    <xf numFmtId="0" fontId="125" fillId="27" borderId="65" xfId="0" quotePrefix="1" applyNumberFormat="1" applyFont="1" applyFill="1" applyBorder="1" applyAlignment="1" applyProtection="1">
      <alignment horizontal="center" vertical="center"/>
      <protection hidden="1"/>
    </xf>
    <xf numFmtId="0" fontId="130" fillId="27" borderId="83" xfId="29" applyFont="1" applyFill="1" applyBorder="1" applyAlignment="1" applyProtection="1">
      <alignment horizontal="center" vertical="center"/>
      <protection hidden="1"/>
    </xf>
    <xf numFmtId="0" fontId="33" fillId="27" borderId="128" xfId="0" applyFont="1" applyFill="1" applyBorder="1" applyAlignment="1" applyProtection="1">
      <alignment vertical="center"/>
      <protection hidden="1"/>
    </xf>
    <xf numFmtId="0" fontId="128" fillId="27" borderId="129" xfId="0" applyFont="1" applyFill="1" applyBorder="1" applyAlignment="1" applyProtection="1">
      <alignment vertical="center"/>
      <protection hidden="1"/>
    </xf>
    <xf numFmtId="0" fontId="106" fillId="0" borderId="66" xfId="0" quotePrefix="1" applyNumberFormat="1" applyFont="1" applyFill="1" applyBorder="1" applyAlignment="1" applyProtection="1">
      <alignment horizontal="center" vertical="center"/>
      <protection hidden="1"/>
    </xf>
    <xf numFmtId="185" fontId="126" fillId="27" borderId="115" xfId="0" applyNumberFormat="1" applyFont="1" applyFill="1" applyBorder="1" applyAlignment="1" applyProtection="1">
      <alignment horizontal="center" vertical="center"/>
      <protection hidden="1"/>
    </xf>
    <xf numFmtId="177" fontId="29" fillId="0" borderId="115" xfId="0" applyNumberFormat="1" applyFont="1" applyFill="1" applyBorder="1" applyAlignment="1" applyProtection="1">
      <alignment horizontal="center" vertical="center"/>
      <protection hidden="1"/>
    </xf>
    <xf numFmtId="0" fontId="23" fillId="31" borderId="130" xfId="0" applyFont="1" applyFill="1" applyBorder="1" applyAlignment="1" applyProtection="1">
      <alignment vertical="center"/>
      <protection hidden="1"/>
    </xf>
    <xf numFmtId="0" fontId="23" fillId="31" borderId="131" xfId="0" applyFont="1" applyFill="1" applyBorder="1" applyAlignment="1" applyProtection="1">
      <alignment horizontal="left" vertical="center"/>
      <protection hidden="1"/>
    </xf>
    <xf numFmtId="0" fontId="23" fillId="31" borderId="131" xfId="0" applyFont="1" applyFill="1" applyBorder="1" applyAlignment="1" applyProtection="1">
      <alignment horizontal="left"/>
      <protection hidden="1"/>
    </xf>
    <xf numFmtId="0" fontId="6" fillId="31" borderId="132" xfId="0" applyFont="1" applyFill="1" applyBorder="1" applyAlignment="1" applyProtection="1">
      <alignment vertical="center"/>
      <protection hidden="1"/>
    </xf>
    <xf numFmtId="0" fontId="6" fillId="31" borderId="131" xfId="0" applyFont="1" applyFill="1" applyBorder="1" applyProtection="1">
      <alignment vertical="center"/>
      <protection hidden="1"/>
    </xf>
    <xf numFmtId="182" fontId="37" fillId="31" borderId="130"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protection hidden="1"/>
    </xf>
    <xf numFmtId="182" fontId="37" fillId="31" borderId="133" xfId="0" applyNumberFormat="1" applyFont="1" applyFill="1" applyBorder="1" applyAlignment="1" applyProtection="1">
      <alignment horizontal="center"/>
      <protection hidden="1"/>
    </xf>
    <xf numFmtId="198" fontId="126" fillId="31" borderId="134" xfId="0" applyNumberFormat="1" applyFont="1" applyFill="1" applyBorder="1" applyAlignment="1" applyProtection="1">
      <alignment horizontal="center" vertical="center"/>
      <protection hidden="1"/>
    </xf>
    <xf numFmtId="185" fontId="127" fillId="31" borderId="131" xfId="0" applyNumberFormat="1" applyFont="1" applyFill="1" applyBorder="1" applyAlignment="1" applyProtection="1">
      <alignment horizontal="center" vertical="center"/>
      <protection hidden="1"/>
    </xf>
    <xf numFmtId="198" fontId="126" fillId="31" borderId="135" xfId="0" applyNumberFormat="1" applyFont="1" applyFill="1" applyBorder="1" applyAlignment="1" applyProtection="1">
      <alignment horizontal="center" vertical="center"/>
      <protection hidden="1"/>
    </xf>
    <xf numFmtId="185" fontId="127" fillId="31" borderId="136" xfId="0" applyNumberFormat="1" applyFont="1" applyFill="1" applyBorder="1" applyAlignment="1" applyProtection="1">
      <alignment horizontal="center" vertical="center"/>
      <protection hidden="1"/>
    </xf>
    <xf numFmtId="0" fontId="125" fillId="27" borderId="109" xfId="0" applyFont="1" applyFill="1" applyBorder="1" applyAlignment="1" applyProtection="1">
      <alignment horizontal="left" vertical="center"/>
      <protection hidden="1"/>
    </xf>
    <xf numFmtId="0" fontId="125" fillId="27" borderId="0" xfId="0" applyFont="1" applyFill="1" applyBorder="1" applyAlignment="1" applyProtection="1">
      <alignment horizontal="left" vertical="center"/>
      <protection hidden="1"/>
    </xf>
    <xf numFmtId="182" fontId="28" fillId="0" borderId="77" xfId="0" applyNumberFormat="1" applyFont="1" applyFill="1" applyBorder="1" applyAlignment="1" applyProtection="1">
      <alignment horizontal="left" vertical="center" wrapText="1"/>
      <protection locked="0"/>
    </xf>
    <xf numFmtId="182" fontId="28" fillId="0" borderId="57" xfId="0" applyNumberFormat="1" applyFont="1" applyFill="1" applyBorder="1" applyAlignment="1" applyProtection="1">
      <alignment horizontal="left" vertical="center" wrapText="1"/>
      <protection locked="0"/>
    </xf>
    <xf numFmtId="182" fontId="37" fillId="0" borderId="57" xfId="0" applyNumberFormat="1" applyFont="1" applyFill="1" applyBorder="1" applyAlignment="1" applyProtection="1">
      <alignment horizontal="left" wrapText="1"/>
      <protection locked="0"/>
    </xf>
    <xf numFmtId="198" fontId="129" fillId="27" borderId="94" xfId="0" applyNumberFormat="1" applyFont="1" applyFill="1" applyBorder="1" applyAlignment="1" applyProtection="1">
      <alignment horizontal="center" vertical="center"/>
      <protection hidden="1"/>
    </xf>
    <xf numFmtId="198" fontId="129" fillId="27" borderId="95" xfId="0" applyNumberFormat="1" applyFont="1" applyFill="1" applyBorder="1" applyAlignment="1" applyProtection="1">
      <alignment horizontal="center" vertical="center"/>
      <protection hidden="1"/>
    </xf>
    <xf numFmtId="185" fontId="126" fillId="27" borderId="96"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justify"/>
      <protection hidden="1"/>
    </xf>
    <xf numFmtId="177" fontId="28" fillId="0" borderId="119" xfId="0" applyNumberFormat="1" applyFont="1" applyFill="1" applyBorder="1" applyAlignment="1" applyProtection="1">
      <alignment horizontal="center" vertical="justify"/>
      <protection hidden="1"/>
    </xf>
    <xf numFmtId="0" fontId="125" fillId="27" borderId="118" xfId="0" quotePrefix="1" applyNumberFormat="1" applyFont="1" applyFill="1" applyBorder="1" applyAlignment="1" applyProtection="1">
      <alignment horizontal="center" vertical="center"/>
      <protection hidden="1"/>
    </xf>
    <xf numFmtId="0" fontId="106" fillId="27" borderId="0" xfId="0" quotePrefix="1" applyNumberFormat="1" applyFont="1" applyFill="1" applyBorder="1" applyAlignment="1" applyProtection="1">
      <alignment horizontal="center" vertical="center"/>
      <protection hidden="1"/>
    </xf>
    <xf numFmtId="177" fontId="29" fillId="0" borderId="100" xfId="0" applyNumberFormat="1" applyFont="1" applyFill="1" applyBorder="1" applyAlignment="1" applyProtection="1">
      <alignment horizontal="center" vertical="center"/>
      <protection hidden="1"/>
    </xf>
    <xf numFmtId="0" fontId="23" fillId="27" borderId="89" xfId="0" quotePrefix="1" applyFont="1" applyFill="1" applyBorder="1" applyAlignment="1" applyProtection="1">
      <alignment vertical="center"/>
      <protection hidden="1"/>
    </xf>
    <xf numFmtId="185" fontId="36" fillId="0" borderId="0" xfId="0" applyNumberFormat="1" applyFont="1" applyFill="1" applyBorder="1" applyAlignment="1" applyProtection="1">
      <alignment horizontal="center" vertical="center"/>
      <protection hidden="1"/>
    </xf>
    <xf numFmtId="177" fontId="29" fillId="0" borderId="66" xfId="0" applyNumberFormat="1" applyFont="1" applyFill="1" applyBorder="1" applyAlignment="1" applyProtection="1">
      <alignment horizontal="center" vertical="center"/>
      <protection hidden="1"/>
    </xf>
    <xf numFmtId="198" fontId="129" fillId="27" borderId="17" xfId="0" applyNumberFormat="1" applyFont="1" applyFill="1" applyBorder="1" applyAlignment="1" applyProtection="1">
      <alignment horizontal="center" vertical="center"/>
      <protection hidden="1"/>
    </xf>
    <xf numFmtId="185" fontId="29" fillId="0" borderId="0" xfId="0" applyNumberFormat="1" applyFont="1" applyFill="1" applyBorder="1" applyAlignment="1" applyProtection="1">
      <alignment horizontal="center" vertical="center"/>
      <protection hidden="1"/>
    </xf>
    <xf numFmtId="177" fontId="29" fillId="0" borderId="60" xfId="0" applyNumberFormat="1" applyFont="1" applyFill="1" applyBorder="1" applyAlignment="1" applyProtection="1">
      <alignment horizontal="center" vertical="center"/>
      <protection hidden="1"/>
    </xf>
    <xf numFmtId="185" fontId="29" fillId="27" borderId="0" xfId="0" applyNumberFormat="1" applyFont="1" applyFill="1" applyBorder="1" applyAlignment="1" applyProtection="1">
      <alignment horizontal="center" vertical="center"/>
      <protection hidden="1"/>
    </xf>
    <xf numFmtId="0" fontId="125" fillId="27" borderId="77" xfId="0" quotePrefix="1" applyNumberFormat="1" applyFont="1" applyFill="1" applyBorder="1" applyAlignment="1" applyProtection="1">
      <alignment horizontal="center" vertical="center"/>
      <protection hidden="1"/>
    </xf>
    <xf numFmtId="198" fontId="129" fillId="27" borderId="58" xfId="0" applyNumberFormat="1" applyFont="1" applyFill="1" applyBorder="1" applyAlignment="1" applyProtection="1">
      <alignment horizontal="center" vertical="center"/>
      <protection hidden="1"/>
    </xf>
    <xf numFmtId="185" fontId="29" fillId="0" borderId="57" xfId="0" applyNumberFormat="1" applyFont="1" applyFill="1" applyBorder="1" applyAlignment="1" applyProtection="1">
      <alignment horizontal="center" vertical="center"/>
      <protection hidden="1"/>
    </xf>
    <xf numFmtId="0" fontId="106" fillId="0" borderId="53" xfId="0" quotePrefix="1" applyNumberFormat="1" applyFont="1" applyFill="1" applyBorder="1" applyAlignment="1" applyProtection="1">
      <alignment horizontal="center" vertical="center"/>
      <protection hidden="1"/>
    </xf>
    <xf numFmtId="182" fontId="28" fillId="0" borderId="89" xfId="0" applyNumberFormat="1" applyFont="1" applyFill="1"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185" fontId="36" fillId="0" borderId="53" xfId="0" applyNumberFormat="1" applyFont="1" applyFill="1" applyBorder="1" applyAlignment="1" applyProtection="1">
      <alignment horizontal="center" vertical="center"/>
      <protection hidden="1"/>
    </xf>
    <xf numFmtId="177" fontId="29" fillId="0" borderId="62" xfId="0" applyNumberFormat="1" applyFont="1" applyFill="1" applyBorder="1" applyAlignment="1" applyProtection="1">
      <alignment horizontal="center" vertical="center"/>
      <protection hidden="1"/>
    </xf>
    <xf numFmtId="0" fontId="125" fillId="27" borderId="77" xfId="0" applyFont="1" applyFill="1" applyBorder="1" applyAlignment="1" applyProtection="1">
      <alignment horizontal="center"/>
      <protection hidden="1"/>
    </xf>
    <xf numFmtId="198" fontId="129" fillId="27" borderId="120" xfId="0" applyNumberFormat="1" applyFont="1" applyFill="1" applyBorder="1" applyAlignment="1" applyProtection="1">
      <alignment horizontal="center" vertical="center"/>
      <protection hidden="1"/>
    </xf>
    <xf numFmtId="185" fontId="29" fillId="0" borderId="93" xfId="0" applyNumberFormat="1" applyFont="1" applyFill="1" applyBorder="1" applyAlignment="1" applyProtection="1">
      <alignment horizontal="center" vertical="center"/>
      <protection hidden="1"/>
    </xf>
    <xf numFmtId="0" fontId="136" fillId="27" borderId="0" xfId="29" applyNumberFormat="1" applyFont="1" applyFill="1" applyBorder="1" applyAlignment="1" applyProtection="1">
      <alignment horizontal="center" vertical="center"/>
      <protection hidden="1"/>
    </xf>
    <xf numFmtId="0" fontId="137" fillId="27" borderId="0" xfId="0" applyNumberFormat="1" applyFont="1" applyFill="1" applyBorder="1" applyAlignment="1" applyProtection="1">
      <alignment horizontal="left" vertical="center"/>
      <protection hidden="1"/>
    </xf>
    <xf numFmtId="0" fontId="137" fillId="27" borderId="0" xfId="0" applyFont="1" applyFill="1" applyBorder="1" applyAlignment="1" applyProtection="1">
      <alignment horizontal="center" vertical="center"/>
      <protection hidden="1"/>
    </xf>
    <xf numFmtId="185" fontId="29" fillId="0" borderId="97" xfId="0" applyNumberFormat="1" applyFont="1" applyFill="1" applyBorder="1" applyAlignment="1" applyProtection="1">
      <alignment horizontal="center" vertical="center"/>
      <protection hidden="1"/>
    </xf>
    <xf numFmtId="0" fontId="125" fillId="27" borderId="53" xfId="0" applyNumberFormat="1" applyFont="1" applyFill="1" applyBorder="1" applyAlignment="1" applyProtection="1">
      <alignment horizontal="left" vertical="center"/>
      <protection hidden="1"/>
    </xf>
    <xf numFmtId="185" fontId="36" fillId="27" borderId="137" xfId="0" applyNumberFormat="1" applyFont="1" applyFill="1" applyBorder="1" applyAlignment="1" applyProtection="1">
      <alignment horizontal="center" vertical="center"/>
      <protection hidden="1"/>
    </xf>
    <xf numFmtId="177" fontId="29" fillId="0" borderId="0" xfId="0" applyNumberFormat="1" applyFont="1" applyFill="1" applyBorder="1" applyAlignment="1" applyProtection="1">
      <alignment horizontal="center" vertical="center"/>
      <protection hidden="1"/>
    </xf>
    <xf numFmtId="0" fontId="33" fillId="27" borderId="51" xfId="0" applyFont="1" applyFill="1" applyBorder="1" applyAlignment="1" applyProtection="1">
      <alignment horizontal="center" vertical="center"/>
      <protection hidden="1"/>
    </xf>
    <xf numFmtId="0" fontId="33" fillId="27" borderId="50" xfId="0" applyNumberFormat="1" applyFont="1" applyFill="1" applyBorder="1" applyAlignment="1" applyProtection="1">
      <alignment horizontal="left" vertical="center"/>
      <protection hidden="1"/>
    </xf>
    <xf numFmtId="0" fontId="130" fillId="27" borderId="83" xfId="29" applyNumberFormat="1" applyFont="1" applyFill="1" applyBorder="1" applyAlignment="1" applyProtection="1">
      <alignment horizontal="center" vertical="center"/>
      <protection hidden="1"/>
    </xf>
    <xf numFmtId="0" fontId="33" fillId="27" borderId="138" xfId="0" applyFont="1" applyFill="1" applyBorder="1" applyAlignment="1" applyProtection="1">
      <alignment horizontal="center" vertical="center"/>
      <protection hidden="1"/>
    </xf>
    <xf numFmtId="198" fontId="129" fillId="27" borderId="84" xfId="0" applyNumberFormat="1" applyFont="1" applyFill="1" applyBorder="1" applyAlignment="1" applyProtection="1">
      <alignment horizontal="center" vertical="center"/>
      <protection hidden="1"/>
    </xf>
    <xf numFmtId="185" fontId="29" fillId="0" borderId="66" xfId="0" applyNumberFormat="1" applyFont="1" applyFill="1" applyBorder="1" applyAlignment="1" applyProtection="1">
      <alignment horizontal="center" vertical="center"/>
      <protection hidden="1"/>
    </xf>
    <xf numFmtId="198" fontId="129" fillId="27" borderId="139" xfId="0" applyNumberFormat="1" applyFont="1" applyFill="1" applyBorder="1" applyAlignment="1" applyProtection="1">
      <alignment horizontal="center" vertical="center"/>
      <protection hidden="1"/>
    </xf>
    <xf numFmtId="0" fontId="23" fillId="31" borderId="131" xfId="0" applyNumberFormat="1" applyFont="1" applyFill="1" applyBorder="1" applyAlignment="1" applyProtection="1">
      <alignment horizontal="left" vertical="center"/>
      <protection hidden="1"/>
    </xf>
    <xf numFmtId="0" fontId="33" fillId="31" borderId="132" xfId="0" applyNumberFormat="1" applyFont="1" applyFill="1" applyBorder="1" applyAlignment="1" applyProtection="1">
      <alignment horizontal="left" vertical="center"/>
      <protection hidden="1"/>
    </xf>
    <xf numFmtId="0" fontId="125" fillId="31" borderId="131" xfId="0" applyNumberFormat="1" applyFont="1" applyFill="1" applyBorder="1" applyAlignment="1" applyProtection="1">
      <alignment horizontal="center" vertical="center"/>
      <protection hidden="1"/>
    </xf>
    <xf numFmtId="182" fontId="37" fillId="31" borderId="140" xfId="0" applyNumberFormat="1" applyFont="1" applyFill="1" applyBorder="1" applyAlignment="1" applyProtection="1">
      <alignment horizontal="center"/>
      <protection hidden="1"/>
    </xf>
    <xf numFmtId="185" fontId="36" fillId="0" borderId="92" xfId="0" applyNumberFormat="1" applyFont="1" applyFill="1" applyBorder="1" applyAlignment="1" applyProtection="1">
      <alignment horizontal="center" vertical="center"/>
      <protection hidden="1"/>
    </xf>
    <xf numFmtId="0" fontId="23" fillId="27" borderId="80" xfId="0" quotePrefix="1" applyFont="1" applyFill="1" applyBorder="1" applyAlignment="1" applyProtection="1">
      <alignment vertical="center"/>
      <protection hidden="1"/>
    </xf>
    <xf numFmtId="0" fontId="125" fillId="27" borderId="50" xfId="0" applyFont="1" applyFill="1" applyBorder="1" applyAlignment="1" applyProtection="1">
      <alignment horizontal="left" vertical="center"/>
      <protection hidden="1"/>
    </xf>
    <xf numFmtId="185" fontId="36" fillId="0" borderId="141" xfId="0" applyNumberFormat="1" applyFont="1" applyFill="1" applyBorder="1" applyAlignment="1" applyProtection="1">
      <alignment horizontal="center" vertical="center"/>
      <protection hidden="1"/>
    </xf>
    <xf numFmtId="198" fontId="129" fillId="27" borderId="27" xfId="0" applyNumberFormat="1" applyFont="1" applyFill="1" applyBorder="1" applyAlignment="1" applyProtection="1">
      <alignment horizontal="center" vertical="center"/>
      <protection hidden="1"/>
    </xf>
    <xf numFmtId="185" fontId="36" fillId="0" borderId="50" xfId="0" applyNumberFormat="1" applyFont="1" applyFill="1" applyBorder="1" applyAlignment="1" applyProtection="1">
      <alignment horizontal="center" vertical="center"/>
      <protection hidden="1"/>
    </xf>
    <xf numFmtId="0" fontId="125" fillId="27" borderId="57" xfId="0" applyNumberFormat="1" applyFont="1" applyFill="1" applyBorder="1" applyAlignment="1" applyProtection="1">
      <alignment horizontal="left" vertical="center"/>
      <protection hidden="1"/>
    </xf>
    <xf numFmtId="0" fontId="23" fillId="27" borderId="64" xfId="0" applyFont="1" applyFill="1" applyBorder="1" applyProtection="1">
      <alignment vertical="center"/>
      <protection hidden="1"/>
    </xf>
    <xf numFmtId="0" fontId="33" fillId="27" borderId="57" xfId="0" applyNumberFormat="1" applyFont="1" applyFill="1" applyBorder="1" applyAlignment="1" applyProtection="1">
      <alignment horizontal="left" vertical="center"/>
      <protection hidden="1"/>
    </xf>
    <xf numFmtId="0" fontId="33" fillId="27" borderId="57" xfId="0" applyFont="1" applyFill="1" applyBorder="1" applyProtection="1">
      <alignment vertical="center"/>
      <protection hidden="1"/>
    </xf>
    <xf numFmtId="0" fontId="23" fillId="27" borderId="26" xfId="0" applyFont="1" applyFill="1" applyBorder="1" applyProtection="1">
      <alignment vertical="center"/>
      <protection hidden="1"/>
    </xf>
    <xf numFmtId="0" fontId="33" fillId="27" borderId="50" xfId="0" applyFont="1" applyFill="1" applyBorder="1" applyProtection="1">
      <alignment vertical="center"/>
      <protection hidden="1"/>
    </xf>
    <xf numFmtId="198" fontId="129" fillId="27" borderId="142" xfId="0" applyNumberFormat="1" applyFont="1" applyFill="1" applyBorder="1" applyAlignment="1" applyProtection="1">
      <alignment horizontal="center" vertical="center"/>
      <protection hidden="1"/>
    </xf>
    <xf numFmtId="0" fontId="138" fillId="0" borderId="62" xfId="0" quotePrefix="1" applyNumberFormat="1" applyFont="1" applyFill="1" applyBorder="1" applyAlignment="1" applyProtection="1">
      <alignment horizontal="left" vertical="center"/>
      <protection hidden="1"/>
    </xf>
    <xf numFmtId="0" fontId="139" fillId="0" borderId="0" xfId="0" applyFont="1" applyFill="1" applyBorder="1" applyAlignment="1" applyProtection="1">
      <alignment horizontal="left"/>
      <protection hidden="1"/>
    </xf>
    <xf numFmtId="0" fontId="140"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141" fillId="0" borderId="0" xfId="0" applyFont="1" applyFill="1" applyBorder="1" applyAlignment="1" applyProtection="1">
      <alignment vertical="center"/>
      <protection hidden="1"/>
    </xf>
    <xf numFmtId="0" fontId="118" fillId="0" borderId="0" xfId="0" applyFont="1" applyFill="1" applyBorder="1" applyAlignment="1" applyProtection="1">
      <alignment vertical="center"/>
      <protection hidden="1"/>
    </xf>
    <xf numFmtId="182" fontId="37" fillId="0" borderId="62" xfId="0" applyNumberFormat="1" applyFont="1" applyFill="1" applyBorder="1" applyAlignment="1" applyProtection="1">
      <alignment horizontal="left" vertical="center"/>
      <protection hidden="1"/>
    </xf>
    <xf numFmtId="182" fontId="37" fillId="0" borderId="0" xfId="0" applyNumberFormat="1" applyFont="1" applyFill="1" applyBorder="1" applyAlignment="1" applyProtection="1">
      <alignment horizontal="left" vertical="center"/>
      <protection hidden="1"/>
    </xf>
    <xf numFmtId="198" fontId="126" fillId="27" borderId="98" xfId="0" applyNumberFormat="1" applyFont="1" applyFill="1" applyBorder="1" applyAlignment="1" applyProtection="1">
      <alignment horizontal="center" vertical="center"/>
      <protection hidden="1"/>
    </xf>
    <xf numFmtId="198" fontId="126" fillId="27" borderId="99" xfId="0" applyNumberFormat="1" applyFont="1" applyFill="1" applyBorder="1" applyAlignment="1" applyProtection="1">
      <alignment horizontal="center" vertical="center"/>
      <protection hidden="1"/>
    </xf>
    <xf numFmtId="0" fontId="62" fillId="33" borderId="59" xfId="0" applyNumberFormat="1" applyFont="1" applyFill="1" applyBorder="1" applyAlignment="1" applyProtection="1">
      <alignment horizontal="left" vertical="center"/>
      <protection hidden="1"/>
    </xf>
    <xf numFmtId="0" fontId="62" fillId="33" borderId="60" xfId="0" applyNumberFormat="1" applyFont="1" applyFill="1" applyBorder="1" applyAlignment="1" applyProtection="1">
      <alignment horizontal="left" vertical="center"/>
      <protection hidden="1"/>
    </xf>
    <xf numFmtId="0" fontId="62" fillId="33" borderId="61" xfId="0" applyNumberFormat="1" applyFont="1" applyFill="1" applyBorder="1" applyAlignment="1" applyProtection="1">
      <alignment horizontal="left" vertical="center"/>
      <protection hidden="1"/>
    </xf>
    <xf numFmtId="0" fontId="2" fillId="33" borderId="60" xfId="0" applyFont="1" applyFill="1" applyBorder="1" applyProtection="1">
      <alignment vertical="center"/>
      <protection hidden="1"/>
    </xf>
    <xf numFmtId="182" fontId="37" fillId="33" borderId="59"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protection hidden="1"/>
    </xf>
    <xf numFmtId="182" fontId="37" fillId="33" borderId="140" xfId="0" applyNumberFormat="1" applyFont="1" applyFill="1" applyBorder="1" applyAlignment="1" applyProtection="1">
      <alignment horizontal="center"/>
      <protection hidden="1"/>
    </xf>
    <xf numFmtId="198" fontId="129" fillId="33" borderId="143" xfId="0" applyNumberFormat="1" applyFont="1" applyFill="1" applyBorder="1" applyAlignment="1" applyProtection="1">
      <alignment horizontal="center" vertical="center"/>
      <protection hidden="1"/>
    </xf>
    <xf numFmtId="185" fontId="29" fillId="33" borderId="60" xfId="0" applyNumberFormat="1" applyFont="1" applyFill="1" applyBorder="1" applyAlignment="1" applyProtection="1">
      <alignment horizontal="center" vertical="center"/>
      <protection hidden="1"/>
    </xf>
    <xf numFmtId="198" fontId="129" fillId="33" borderId="144" xfId="0" applyNumberFormat="1" applyFont="1" applyFill="1" applyBorder="1" applyAlignment="1" applyProtection="1">
      <alignment horizontal="center" vertical="center"/>
      <protection hidden="1"/>
    </xf>
    <xf numFmtId="185" fontId="63" fillId="33" borderId="92" xfId="0" applyNumberFormat="1" applyFont="1" applyFill="1" applyBorder="1" applyAlignment="1" applyProtection="1">
      <alignment horizontal="center" vertical="center"/>
      <protection hidden="1"/>
    </xf>
    <xf numFmtId="0" fontId="23" fillId="31" borderId="104" xfId="0" applyFont="1" applyFill="1" applyBorder="1" applyAlignment="1" applyProtection="1">
      <alignment vertical="center"/>
      <protection hidden="1"/>
    </xf>
    <xf numFmtId="0" fontId="125" fillId="31" borderId="103" xfId="0" applyNumberFormat="1" applyFont="1" applyFill="1" applyBorder="1" applyAlignment="1" applyProtection="1">
      <alignment horizontal="right" vertical="center"/>
      <protection hidden="1"/>
    </xf>
    <xf numFmtId="182" fontId="37" fillId="31" borderId="145" xfId="0" applyNumberFormat="1" applyFont="1" applyFill="1" applyBorder="1" applyAlignment="1" applyProtection="1">
      <alignment horizontal="center"/>
      <protection hidden="1"/>
    </xf>
    <xf numFmtId="0" fontId="125" fillId="27" borderId="63" xfId="0" applyFont="1" applyFill="1" applyBorder="1" applyAlignment="1" applyProtection="1">
      <alignment horizontal="right" vertical="center"/>
      <protection hidden="1"/>
    </xf>
    <xf numFmtId="185" fontId="36" fillId="0" borderId="146" xfId="0" applyNumberFormat="1" applyFont="1" applyFill="1" applyBorder="1" applyAlignment="1" applyProtection="1">
      <alignment horizontal="center" vertical="center"/>
      <protection hidden="1"/>
    </xf>
    <xf numFmtId="0" fontId="23" fillId="27" borderId="89" xfId="0" applyFont="1" applyFill="1" applyBorder="1" applyAlignment="1" applyProtection="1">
      <alignment vertical="center"/>
      <protection hidden="1"/>
    </xf>
    <xf numFmtId="0" fontId="125" fillId="27" borderId="82" xfId="0" applyFont="1" applyFill="1" applyBorder="1" applyAlignment="1" applyProtection="1">
      <alignment horizontal="right" vertical="center"/>
      <protection hidden="1"/>
    </xf>
    <xf numFmtId="182" fontId="28" fillId="0" borderId="80" xfId="0" applyNumberFormat="1"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23" fillId="27" borderId="62" xfId="0" applyFont="1" applyFill="1" applyBorder="1" applyAlignment="1" applyProtection="1">
      <alignment vertical="center"/>
      <protection hidden="1"/>
    </xf>
    <xf numFmtId="198" fontId="129" fillId="27" borderId="54"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right" vertical="center"/>
      <protection hidden="1"/>
    </xf>
    <xf numFmtId="198" fontId="129" fillId="27" borderId="118" xfId="0" applyNumberFormat="1" applyFont="1" applyFill="1" applyBorder="1" applyAlignment="1" applyProtection="1">
      <alignment horizontal="center" vertical="center"/>
      <protection hidden="1"/>
    </xf>
    <xf numFmtId="0" fontId="23" fillId="27" borderId="120" xfId="0" applyFont="1" applyFill="1" applyBorder="1" applyAlignment="1" applyProtection="1">
      <alignment vertical="center"/>
      <protection hidden="1"/>
    </xf>
    <xf numFmtId="177" fontId="28" fillId="0" borderId="115" xfId="0" applyNumberFormat="1" applyFont="1" applyFill="1" applyBorder="1" applyAlignment="1" applyProtection="1">
      <alignment horizontal="center" vertical="justify"/>
      <protection hidden="1"/>
    </xf>
    <xf numFmtId="0" fontId="137" fillId="42" borderId="50" xfId="0" applyNumberFormat="1" applyFont="1" applyFill="1" applyBorder="1" applyAlignment="1" applyProtection="1">
      <alignment horizontal="left" vertical="center"/>
      <protection hidden="1"/>
    </xf>
    <xf numFmtId="185" fontId="36" fillId="0" borderId="97" xfId="0" applyNumberFormat="1" applyFont="1" applyFill="1" applyBorder="1" applyAlignment="1" applyProtection="1">
      <alignment horizontal="center" vertical="center"/>
      <protection hidden="1"/>
    </xf>
    <xf numFmtId="0" fontId="143" fillId="27" borderId="62" xfId="0" applyNumberFormat="1" applyFont="1" applyFill="1" applyBorder="1" applyAlignment="1" applyProtection="1">
      <alignment horizontal="center" vertical="center"/>
      <protection hidden="1"/>
    </xf>
    <xf numFmtId="0" fontId="142" fillId="27" borderId="26" xfId="0" applyFont="1" applyFill="1" applyBorder="1" applyProtection="1">
      <alignment vertical="center"/>
      <protection hidden="1"/>
    </xf>
    <xf numFmtId="0" fontId="26" fillId="0" borderId="62" xfId="0" applyFont="1" applyFill="1" applyBorder="1" applyAlignment="1" applyProtection="1">
      <alignment horizontal="center" vertical="justify"/>
      <protection hidden="1"/>
    </xf>
    <xf numFmtId="0" fontId="143" fillId="27" borderId="77" xfId="0" applyNumberFormat="1" applyFont="1" applyFill="1" applyBorder="1" applyAlignment="1" applyProtection="1">
      <alignment horizontal="center" vertical="center"/>
      <protection hidden="1"/>
    </xf>
    <xf numFmtId="177" fontId="29" fillId="0" borderId="68" xfId="0" applyNumberFormat="1" applyFont="1" applyFill="1" applyBorder="1" applyAlignment="1" applyProtection="1">
      <alignment horizontal="center" vertical="center"/>
      <protection hidden="1"/>
    </xf>
    <xf numFmtId="0" fontId="23" fillId="27" borderId="147" xfId="0" quotePrefix="1" applyFont="1" applyFill="1" applyBorder="1" applyAlignment="1" applyProtection="1">
      <alignment vertical="center"/>
      <protection hidden="1"/>
    </xf>
    <xf numFmtId="182" fontId="28" fillId="0" borderId="148" xfId="0" applyNumberFormat="1" applyFont="1" applyFill="1" applyBorder="1" applyAlignment="1" applyProtection="1">
      <alignment horizontal="left" vertical="center" wrapText="1"/>
      <protection locked="0"/>
    </xf>
    <xf numFmtId="182" fontId="28" fillId="0" borderId="109" xfId="0" applyNumberFormat="1" applyFont="1" applyFill="1" applyBorder="1" applyAlignment="1" applyProtection="1">
      <alignment horizontal="left" vertical="center" wrapText="1"/>
      <protection locked="0"/>
    </xf>
    <xf numFmtId="182" fontId="37" fillId="0" borderId="149" xfId="0" applyNumberFormat="1" applyFont="1" applyFill="1" applyBorder="1" applyAlignment="1" applyProtection="1">
      <alignment horizontal="left" wrapText="1"/>
      <protection locked="0"/>
    </xf>
    <xf numFmtId="0" fontId="23" fillId="27" borderId="64" xfId="0" quotePrefix="1" applyFont="1" applyFill="1" applyBorder="1" applyAlignment="1" applyProtection="1">
      <alignment vertical="center"/>
      <protection hidden="1"/>
    </xf>
    <xf numFmtId="177" fontId="29" fillId="0" borderId="69" xfId="0" applyNumberFormat="1" applyFont="1" applyFill="1" applyBorder="1" applyAlignment="1" applyProtection="1">
      <alignment horizontal="center" vertical="center"/>
      <protection hidden="1"/>
    </xf>
    <xf numFmtId="0" fontId="130" fillId="27" borderId="64" xfId="29" quotePrefix="1" applyNumberFormat="1" applyFont="1" applyFill="1" applyBorder="1" applyAlignment="1" applyProtection="1">
      <alignment horizontal="center" vertical="center"/>
      <protection hidden="1"/>
    </xf>
    <xf numFmtId="0" fontId="130" fillId="27" borderId="56" xfId="29" quotePrefix="1"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center"/>
      <protection hidden="1"/>
    </xf>
    <xf numFmtId="214" fontId="53" fillId="40" borderId="10" xfId="0"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justify"/>
      <protection hidden="1"/>
    </xf>
    <xf numFmtId="0" fontId="125" fillId="27" borderId="120" xfId="0" applyFont="1" applyFill="1" applyBorder="1" applyAlignment="1" applyProtection="1">
      <alignment horizontal="center" vertical="center"/>
      <protection hidden="1"/>
    </xf>
    <xf numFmtId="214" fontId="29" fillId="0" borderId="115" xfId="0" applyNumberFormat="1" applyFont="1" applyFill="1" applyBorder="1" applyAlignment="1" applyProtection="1">
      <alignment horizontal="center" vertical="justify"/>
      <protection hidden="1"/>
    </xf>
    <xf numFmtId="214" fontId="29" fillId="0" borderId="0" xfId="0" applyNumberFormat="1" applyFont="1" applyFill="1" applyBorder="1" applyAlignment="1" applyProtection="1">
      <alignment horizontal="center" vertical="center"/>
      <protection hidden="1"/>
    </xf>
    <xf numFmtId="185" fontId="29" fillId="0" borderId="146" xfId="0" applyNumberFormat="1" applyFont="1" applyFill="1" applyBorder="1" applyAlignment="1" applyProtection="1">
      <alignment horizontal="center" vertical="center"/>
      <protection hidden="1"/>
    </xf>
    <xf numFmtId="214" fontId="29" fillId="0" borderId="146" xfId="0" applyNumberFormat="1" applyFont="1" applyFill="1" applyBorder="1" applyAlignment="1" applyProtection="1">
      <alignment horizontal="center" vertical="justify"/>
      <protection hidden="1"/>
    </xf>
    <xf numFmtId="182" fontId="37" fillId="0" borderId="17" xfId="0" applyNumberFormat="1" applyFont="1" applyFill="1" applyBorder="1" applyAlignment="1" applyProtection="1">
      <alignment horizontal="left" wrapText="1"/>
      <protection locked="0"/>
    </xf>
    <xf numFmtId="214" fontId="29" fillId="0" borderId="66" xfId="0" applyNumberFormat="1" applyFont="1" applyFill="1" applyBorder="1" applyAlignment="1" applyProtection="1">
      <alignment horizontal="center" vertical="center"/>
      <protection hidden="1"/>
    </xf>
    <xf numFmtId="0" fontId="125" fillId="27" borderId="116" xfId="0" applyNumberFormat="1" applyFont="1" applyFill="1" applyBorder="1" applyAlignment="1" applyProtection="1">
      <alignment horizontal="center" vertical="center"/>
      <protection hidden="1"/>
    </xf>
    <xf numFmtId="182" fontId="37" fillId="31" borderId="150" xfId="0" applyNumberFormat="1" applyFont="1" applyFill="1" applyBorder="1" applyAlignment="1" applyProtection="1">
      <alignment horizontal="center"/>
      <protection hidden="1"/>
    </xf>
    <xf numFmtId="0" fontId="23" fillId="27" borderId="62" xfId="0" quotePrefix="1" applyFont="1" applyFill="1" applyBorder="1" applyProtection="1">
      <alignment vertical="center"/>
      <protection hidden="1"/>
    </xf>
    <xf numFmtId="0" fontId="23" fillId="27" borderId="89" xfId="0" quotePrefix="1" applyFont="1" applyFill="1" applyBorder="1" applyProtection="1">
      <alignment vertical="center"/>
      <protection hidden="1"/>
    </xf>
    <xf numFmtId="185" fontId="36" fillId="27" borderId="151" xfId="0" applyNumberFormat="1" applyFont="1" applyFill="1" applyBorder="1" applyAlignment="1" applyProtection="1">
      <alignment horizontal="center" vertical="center"/>
      <protection hidden="1"/>
    </xf>
    <xf numFmtId="198" fontId="129" fillId="27" borderId="26" xfId="0" applyNumberFormat="1" applyFont="1" applyFill="1" applyBorder="1" applyAlignment="1" applyProtection="1">
      <alignment horizontal="center" vertical="center"/>
      <protection hidden="1"/>
    </xf>
    <xf numFmtId="185" fontId="36" fillId="0" borderId="137" xfId="0" applyNumberFormat="1" applyFont="1" applyFill="1" applyBorder="1" applyAlignment="1" applyProtection="1">
      <alignment horizontal="center" vertical="center"/>
      <protection hidden="1"/>
    </xf>
    <xf numFmtId="198" fontId="129" fillId="27" borderId="50" xfId="0" applyNumberFormat="1" applyFont="1" applyFill="1" applyBorder="1" applyAlignment="1" applyProtection="1">
      <alignment horizontal="center" vertical="center"/>
      <protection hidden="1"/>
    </xf>
    <xf numFmtId="214" fontId="29" fillId="0" borderId="69" xfId="0" applyNumberFormat="1" applyFont="1" applyFill="1" applyBorder="1" applyAlignment="1" applyProtection="1">
      <alignment horizontal="center" vertical="center"/>
      <protection hidden="1"/>
    </xf>
    <xf numFmtId="0" fontId="33" fillId="27" borderId="0" xfId="0" applyNumberFormat="1" applyFont="1" applyFill="1" applyBorder="1" applyAlignment="1" applyProtection="1">
      <alignment horizontal="left" vertical="center"/>
      <protection hidden="1"/>
    </xf>
    <xf numFmtId="0" fontId="0" fillId="0" borderId="17" xfId="0" applyBorder="1" applyAlignment="1" applyProtection="1">
      <alignment horizontal="left" vertical="top" wrapText="1"/>
      <protection locked="0"/>
    </xf>
    <xf numFmtId="198" fontId="129" fillId="27" borderId="64" xfId="0" applyNumberFormat="1" applyFont="1" applyFill="1" applyBorder="1" applyAlignment="1" applyProtection="1">
      <alignment horizontal="center" vertical="center"/>
      <protection hidden="1"/>
    </xf>
    <xf numFmtId="0" fontId="23" fillId="27" borderId="77" xfId="0" quotePrefix="1" applyFont="1" applyFill="1" applyBorder="1" applyProtection="1">
      <alignment vertical="center"/>
      <protection hidden="1"/>
    </xf>
    <xf numFmtId="198" fontId="129" fillId="27" borderId="57" xfId="0" applyNumberFormat="1" applyFont="1" applyFill="1" applyBorder="1" applyAlignment="1" applyProtection="1">
      <alignment horizontal="center" vertical="center"/>
      <protection hidden="1"/>
    </xf>
    <xf numFmtId="185" fontId="36" fillId="0" borderId="93" xfId="0" applyNumberFormat="1" applyFont="1" applyFill="1" applyBorder="1" applyAlignment="1" applyProtection="1">
      <alignment horizontal="center" vertical="center"/>
      <protection hidden="1"/>
    </xf>
    <xf numFmtId="0" fontId="23" fillId="27" borderId="89" xfId="0" applyFont="1" applyFill="1" applyBorder="1" applyProtection="1">
      <alignment vertical="center"/>
      <protection hidden="1"/>
    </xf>
    <xf numFmtId="185" fontId="36" fillId="27" borderId="55" xfId="0" applyNumberFormat="1" applyFont="1" applyFill="1" applyBorder="1" applyAlignment="1" applyProtection="1">
      <alignment horizontal="center" vertical="center"/>
      <protection hidden="1"/>
    </xf>
    <xf numFmtId="0" fontId="23" fillId="27" borderId="62" xfId="0" applyFont="1" applyFill="1" applyBorder="1" applyProtection="1">
      <alignment vertical="center"/>
      <protection hidden="1"/>
    </xf>
    <xf numFmtId="185" fontId="36" fillId="27" borderId="152" xfId="0" applyNumberFormat="1" applyFont="1" applyFill="1" applyBorder="1" applyAlignment="1" applyProtection="1">
      <alignment horizontal="center" vertical="center"/>
      <protection hidden="1"/>
    </xf>
    <xf numFmtId="0" fontId="143" fillId="27" borderId="62" xfId="0" applyFont="1" applyFill="1" applyBorder="1" applyAlignment="1" applyProtection="1">
      <alignment horizontal="center"/>
      <protection hidden="1"/>
    </xf>
    <xf numFmtId="185" fontId="29" fillId="0" borderId="61" xfId="0" applyNumberFormat="1" applyFont="1" applyFill="1" applyBorder="1" applyAlignment="1" applyProtection="1">
      <alignment horizontal="center" vertical="center"/>
      <protection hidden="1"/>
    </xf>
    <xf numFmtId="177" fontId="28" fillId="0" borderId="92" xfId="0" applyNumberFormat="1" applyFont="1" applyFill="1" applyBorder="1" applyAlignment="1" applyProtection="1">
      <alignment horizontal="center" vertical="justify"/>
      <protection hidden="1"/>
    </xf>
    <xf numFmtId="185" fontId="29" fillId="0" borderId="63" xfId="0" applyNumberFormat="1" applyFont="1" applyFill="1" applyBorder="1" applyAlignment="1" applyProtection="1">
      <alignment horizontal="center" vertical="center"/>
      <protection hidden="1"/>
    </xf>
    <xf numFmtId="177" fontId="28" fillId="0" borderId="100" xfId="0" applyNumberFormat="1" applyFont="1" applyFill="1" applyBorder="1" applyAlignment="1" applyProtection="1">
      <alignment horizontal="center" vertical="justify"/>
      <protection hidden="1"/>
    </xf>
    <xf numFmtId="185" fontId="29" fillId="0" borderId="67" xfId="0" applyNumberFormat="1" applyFont="1" applyFill="1" applyBorder="1" applyAlignment="1" applyProtection="1">
      <alignment horizontal="center" vertical="center"/>
      <protection hidden="1"/>
    </xf>
    <xf numFmtId="185" fontId="36" fillId="27" borderId="153" xfId="0" applyNumberFormat="1" applyFont="1" applyFill="1" applyBorder="1" applyAlignment="1" applyProtection="1">
      <alignment horizontal="center" vertical="center"/>
      <protection hidden="1"/>
    </xf>
    <xf numFmtId="177" fontId="28" fillId="0" borderId="0" xfId="0" applyNumberFormat="1" applyFont="1" applyFill="1" applyBorder="1" applyAlignment="1" applyProtection="1">
      <alignment horizontal="center" vertical="justify"/>
      <protection hidden="1"/>
    </xf>
    <xf numFmtId="0" fontId="33" fillId="27" borderId="26" xfId="0" applyNumberFormat="1" applyFont="1" applyFill="1" applyBorder="1" applyAlignment="1" applyProtection="1">
      <alignment horizontal="left" vertical="center" shrinkToFit="1"/>
      <protection hidden="1"/>
    </xf>
    <xf numFmtId="0" fontId="62" fillId="37" borderId="59" xfId="0" applyNumberFormat="1" applyFont="1" applyFill="1" applyBorder="1" applyAlignment="1" applyProtection="1">
      <alignment vertical="center"/>
    </xf>
    <xf numFmtId="0" fontId="115" fillId="37" borderId="60" xfId="0" applyFont="1" applyFill="1" applyBorder="1" applyAlignment="1" applyProtection="1">
      <alignment horizontal="left" vertical="center"/>
    </xf>
    <xf numFmtId="0" fontId="115" fillId="37" borderId="60" xfId="0" applyFont="1" applyFill="1" applyBorder="1" applyAlignment="1" applyProtection="1">
      <alignment vertical="center"/>
    </xf>
    <xf numFmtId="0" fontId="116" fillId="37" borderId="61" xfId="0" applyFont="1" applyFill="1" applyBorder="1" applyAlignment="1" applyProtection="1">
      <alignment vertical="center"/>
    </xf>
    <xf numFmtId="0" fontId="33" fillId="0" borderId="0" xfId="0" applyFont="1">
      <alignment vertical="center"/>
    </xf>
    <xf numFmtId="186" fontId="28" fillId="0" borderId="0" xfId="0" applyNumberFormat="1" applyFont="1" applyFill="1" applyBorder="1" applyProtection="1">
      <alignment vertical="center"/>
    </xf>
    <xf numFmtId="0" fontId="62" fillId="30" borderId="59" xfId="0" applyFont="1" applyFill="1" applyBorder="1" applyAlignment="1" applyProtection="1">
      <alignment vertical="center"/>
    </xf>
    <xf numFmtId="0" fontId="32" fillId="30" borderId="60" xfId="44" applyFont="1" applyFill="1" applyBorder="1" applyAlignment="1" applyProtection="1">
      <alignment vertical="center"/>
    </xf>
    <xf numFmtId="0" fontId="32" fillId="30" borderId="60" xfId="44" applyFont="1" applyFill="1" applyBorder="1" applyAlignment="1" applyProtection="1">
      <alignment horizontal="left" vertical="center"/>
    </xf>
    <xf numFmtId="0" fontId="32" fillId="30" borderId="60" xfId="44" applyNumberFormat="1" applyFont="1" applyFill="1" applyBorder="1" applyAlignment="1" applyProtection="1">
      <alignment vertical="center"/>
    </xf>
    <xf numFmtId="0" fontId="2" fillId="30" borderId="60" xfId="44" applyNumberFormat="1" applyFont="1" applyFill="1" applyBorder="1" applyAlignment="1" applyProtection="1">
      <alignment vertical="center"/>
    </xf>
    <xf numFmtId="0" fontId="2" fillId="30" borderId="60" xfId="0" applyFont="1" applyFill="1" applyBorder="1" applyAlignment="1" applyProtection="1">
      <alignment horizontal="center" vertical="center"/>
    </xf>
    <xf numFmtId="0" fontId="2" fillId="30" borderId="60" xfId="0" applyFont="1" applyFill="1" applyBorder="1" applyAlignment="1" applyProtection="1">
      <alignment vertical="center"/>
    </xf>
    <xf numFmtId="0" fontId="115" fillId="30" borderId="60" xfId="0" applyFont="1" applyFill="1" applyBorder="1" applyAlignment="1" applyProtection="1">
      <alignment vertical="center"/>
    </xf>
    <xf numFmtId="0" fontId="32" fillId="30" borderId="61" xfId="44" applyFont="1" applyFill="1" applyBorder="1" applyAlignment="1" applyProtection="1">
      <alignment vertical="center"/>
    </xf>
    <xf numFmtId="0" fontId="62" fillId="27" borderId="62" xfId="0" applyFont="1" applyFill="1" applyBorder="1" applyAlignment="1" applyProtection="1">
      <alignment vertical="center"/>
    </xf>
    <xf numFmtId="0" fontId="32" fillId="27" borderId="0" xfId="44" applyFont="1" applyFill="1" applyBorder="1" applyAlignment="1" applyProtection="1">
      <alignment vertical="center"/>
    </xf>
    <xf numFmtId="0" fontId="32" fillId="27" borderId="0" xfId="44" applyFont="1" applyFill="1" applyBorder="1" applyAlignment="1" applyProtection="1">
      <alignment horizontal="left" vertical="center"/>
    </xf>
    <xf numFmtId="0" fontId="32" fillId="27" borderId="0" xfId="44" applyNumberFormat="1" applyFont="1" applyFill="1" applyBorder="1" applyAlignment="1" applyProtection="1">
      <alignment vertical="center"/>
    </xf>
    <xf numFmtId="0" fontId="2" fillId="27" borderId="0" xfId="44" applyNumberFormat="1" applyFont="1" applyFill="1" applyBorder="1" applyAlignment="1" applyProtection="1">
      <alignment vertical="center"/>
    </xf>
    <xf numFmtId="0" fontId="33" fillId="27" borderId="0" xfId="0" applyFont="1" applyFill="1" applyBorder="1" applyAlignment="1" applyProtection="1">
      <alignment horizontal="center" vertical="center"/>
    </xf>
    <xf numFmtId="0" fontId="2" fillId="27" borderId="0" xfId="0" applyFont="1" applyFill="1" applyBorder="1" applyAlignment="1" applyProtection="1">
      <alignment vertical="center"/>
    </xf>
    <xf numFmtId="0" fontId="115" fillId="27" borderId="0" xfId="0" applyFont="1" applyFill="1" applyBorder="1" applyAlignment="1" applyProtection="1">
      <alignment vertical="center"/>
    </xf>
    <xf numFmtId="0" fontId="23" fillId="27" borderId="62" xfId="44" applyFont="1" applyFill="1" applyBorder="1" applyAlignment="1" applyProtection="1">
      <alignment vertical="center"/>
    </xf>
    <xf numFmtId="0" fontId="33" fillId="27" borderId="0" xfId="44" applyFont="1" applyFill="1" applyBorder="1" applyAlignment="1" applyProtection="1">
      <alignment horizontal="right" vertical="center"/>
    </xf>
    <xf numFmtId="0" fontId="6" fillId="27" borderId="0" xfId="44" applyFont="1" applyFill="1" applyBorder="1" applyAlignment="1" applyProtection="1">
      <alignment vertical="center"/>
    </xf>
    <xf numFmtId="0" fontId="33" fillId="27" borderId="63" xfId="44" applyFont="1" applyFill="1" applyBorder="1" applyAlignment="1" applyProtection="1">
      <alignment horizontal="right" vertical="center"/>
    </xf>
    <xf numFmtId="0" fontId="125" fillId="27" borderId="0" xfId="44" applyFont="1" applyFill="1" applyBorder="1" applyAlignment="1" applyProtection="1">
      <alignment vertical="center"/>
    </xf>
    <xf numFmtId="0" fontId="68" fillId="27" borderId="0" xfId="44" applyFont="1" applyFill="1" applyBorder="1" applyAlignment="1" applyProtection="1">
      <alignment horizontal="left" vertical="center"/>
    </xf>
    <xf numFmtId="0" fontId="33" fillId="31" borderId="10" xfId="44" applyFont="1" applyFill="1" applyBorder="1" applyAlignment="1" applyProtection="1">
      <alignment horizontal="center" vertical="center"/>
    </xf>
    <xf numFmtId="182" fontId="33" fillId="31" borderId="10" xfId="44" applyNumberFormat="1" applyFont="1" applyFill="1" applyBorder="1" applyAlignment="1" applyProtection="1">
      <alignment horizontal="center" vertical="center"/>
    </xf>
    <xf numFmtId="0" fontId="33" fillId="31" borderId="10" xfId="44" applyFont="1" applyFill="1" applyBorder="1" applyAlignment="1" applyProtection="1">
      <alignment vertical="center"/>
    </xf>
    <xf numFmtId="0" fontId="33" fillId="27" borderId="0" xfId="44" applyFont="1" applyFill="1" applyBorder="1" applyAlignment="1" applyProtection="1">
      <alignment vertical="center"/>
    </xf>
    <xf numFmtId="0" fontId="33" fillId="31" borderId="154" xfId="44" applyFont="1" applyFill="1" applyBorder="1" applyAlignment="1" applyProtection="1">
      <alignment vertical="center"/>
    </xf>
    <xf numFmtId="0" fontId="33" fillId="27" borderId="0" xfId="0" applyFont="1" applyFill="1" applyBorder="1">
      <alignment vertical="center"/>
    </xf>
    <xf numFmtId="0" fontId="33" fillId="27" borderId="0" xfId="44" applyFont="1" applyFill="1" applyBorder="1" applyAlignment="1" applyProtection="1">
      <alignment horizontal="left" vertical="center"/>
    </xf>
    <xf numFmtId="0" fontId="33" fillId="27" borderId="26" xfId="0" applyFont="1" applyFill="1" applyBorder="1">
      <alignment vertical="center"/>
    </xf>
    <xf numFmtId="0" fontId="6" fillId="27" borderId="63" xfId="44" applyFont="1" applyFill="1" applyBorder="1" applyAlignment="1" applyProtection="1">
      <alignment vertical="center"/>
    </xf>
    <xf numFmtId="178" fontId="33" fillId="27" borderId="146" xfId="44" applyNumberFormat="1" applyFont="1" applyFill="1" applyBorder="1" applyAlignment="1" applyProtection="1">
      <alignment horizontal="right" vertical="center"/>
    </xf>
    <xf numFmtId="0" fontId="125" fillId="27" borderId="0" xfId="44" applyFont="1" applyFill="1" applyBorder="1" applyAlignment="1" applyProtection="1">
      <alignment horizontal="right" vertical="center"/>
    </xf>
    <xf numFmtId="178" fontId="33" fillId="27" borderId="0" xfId="44" applyNumberFormat="1" applyFont="1" applyFill="1" applyBorder="1" applyAlignment="1" applyProtection="1">
      <alignment horizontal="right" vertical="center"/>
    </xf>
    <xf numFmtId="38" fontId="33" fillId="27" borderId="10" xfId="35" applyFont="1" applyFill="1" applyBorder="1" applyAlignment="1">
      <alignment vertical="center"/>
    </xf>
    <xf numFmtId="0" fontId="33" fillId="27" borderId="10" xfId="0" applyFont="1" applyFill="1" applyBorder="1">
      <alignment vertical="center"/>
    </xf>
    <xf numFmtId="182" fontId="33" fillId="27" borderId="17" xfId="44" applyNumberFormat="1" applyFont="1" applyFill="1" applyBorder="1" applyAlignment="1" applyProtection="1">
      <alignment horizontal="center" vertical="center"/>
    </xf>
    <xf numFmtId="0" fontId="6" fillId="27" borderId="26" xfId="44" applyFont="1" applyFill="1" applyBorder="1" applyAlignment="1" applyProtection="1">
      <alignment horizontal="left" vertical="center"/>
    </xf>
    <xf numFmtId="0" fontId="33" fillId="27" borderId="50" xfId="44" applyFont="1" applyFill="1" applyBorder="1" applyAlignment="1" applyProtection="1">
      <alignment vertical="center"/>
    </xf>
    <xf numFmtId="0" fontId="6" fillId="27" borderId="27" xfId="44" applyFont="1" applyFill="1" applyBorder="1" applyAlignment="1" applyProtection="1">
      <alignment vertical="center"/>
    </xf>
    <xf numFmtId="179" fontId="6" fillId="27" borderId="10" xfId="44" applyNumberFormat="1" applyFont="1" applyFill="1" applyBorder="1" applyAlignment="1" applyProtection="1">
      <alignment vertical="center"/>
    </xf>
    <xf numFmtId="179" fontId="6" fillId="27" borderId="154" xfId="44" applyNumberFormat="1" applyFont="1" applyFill="1" applyBorder="1" applyAlignment="1" applyProtection="1">
      <alignment vertical="center"/>
    </xf>
    <xf numFmtId="179" fontId="6" fillId="27" borderId="51" xfId="44" applyNumberFormat="1" applyFont="1" applyFill="1" applyBorder="1" applyAlignment="1" applyProtection="1">
      <alignment vertical="center"/>
    </xf>
    <xf numFmtId="179" fontId="6" fillId="27" borderId="156" xfId="44" applyNumberFormat="1" applyFont="1" applyFill="1" applyBorder="1" applyAlignment="1" applyProtection="1">
      <alignment horizontal="right" vertical="center"/>
    </xf>
    <xf numFmtId="0" fontId="4" fillId="33" borderId="157" xfId="44" applyFont="1" applyFill="1" applyBorder="1" applyAlignment="1" applyProtection="1">
      <alignment vertical="center"/>
    </xf>
    <xf numFmtId="0" fontId="32" fillId="33" borderId="128" xfId="44" applyFont="1" applyFill="1" applyBorder="1" applyAlignment="1" applyProtection="1">
      <alignment horizontal="left" vertical="center"/>
    </xf>
    <xf numFmtId="0" fontId="32" fillId="33" borderId="128" xfId="44" applyFont="1" applyFill="1" applyBorder="1" applyAlignment="1" applyProtection="1">
      <alignment vertical="center"/>
    </xf>
    <xf numFmtId="0" fontId="2" fillId="33" borderId="158" xfId="44" applyFont="1" applyFill="1" applyBorder="1" applyAlignment="1" applyProtection="1">
      <alignment vertical="center"/>
    </xf>
    <xf numFmtId="179" fontId="4" fillId="33" borderId="138" xfId="44" applyNumberFormat="1" applyFont="1" applyFill="1" applyBorder="1" applyAlignment="1" applyProtection="1">
      <alignment horizontal="right" vertical="center"/>
    </xf>
    <xf numFmtId="0" fontId="33" fillId="27" borderId="66" xfId="44" applyFont="1" applyFill="1" applyBorder="1" applyAlignment="1" applyProtection="1">
      <alignment vertical="center"/>
    </xf>
    <xf numFmtId="179" fontId="4" fillId="33" borderId="159" xfId="44" applyNumberFormat="1" applyFont="1" applyFill="1" applyBorder="1" applyAlignment="1" applyProtection="1">
      <alignment horizontal="right" vertical="center"/>
    </xf>
    <xf numFmtId="0" fontId="147" fillId="0" borderId="0" xfId="0" applyFont="1" applyFill="1" applyBorder="1" applyAlignment="1" applyProtection="1">
      <alignment vertical="center"/>
    </xf>
    <xf numFmtId="0" fontId="148"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33" fillId="0" borderId="128" xfId="0" applyFont="1" applyFill="1" applyBorder="1" applyProtection="1">
      <alignment vertical="center"/>
    </xf>
    <xf numFmtId="0" fontId="33" fillId="0" borderId="128" xfId="0" applyFont="1" applyFill="1" applyBorder="1" applyAlignment="1" applyProtection="1">
      <alignment horizontal="left" vertical="top" wrapText="1"/>
    </xf>
    <xf numFmtId="3" fontId="27" fillId="0" borderId="0" xfId="0" applyNumberFormat="1" applyFont="1" applyFill="1" applyBorder="1" applyAlignment="1" applyProtection="1">
      <alignment horizontal="left" vertical="center"/>
    </xf>
    <xf numFmtId="0" fontId="33" fillId="0" borderId="0" xfId="0" applyFont="1" applyFill="1" applyProtection="1">
      <alignment vertical="center"/>
    </xf>
    <xf numFmtId="0" fontId="0" fillId="31" borderId="160" xfId="0" applyFill="1" applyBorder="1" applyAlignment="1" applyProtection="1">
      <alignment horizontal="center" vertical="center"/>
    </xf>
    <xf numFmtId="0" fontId="0" fillId="31" borderId="161" xfId="0" applyFill="1" applyBorder="1" applyAlignment="1" applyProtection="1">
      <alignment horizontal="center" vertical="center"/>
    </xf>
    <xf numFmtId="0" fontId="0" fillId="31" borderId="162"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63" xfId="0" applyFill="1" applyBorder="1" applyAlignment="1" applyProtection="1">
      <alignment horizontal="center" vertical="center" wrapText="1"/>
    </xf>
    <xf numFmtId="0" fontId="0" fillId="27" borderId="164"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pplyAlignment="1" applyProtection="1">
      <alignment horizontal="left" vertical="center"/>
    </xf>
    <xf numFmtId="0" fontId="0" fillId="0" borderId="0" xfId="0" applyFill="1">
      <alignment vertical="center"/>
    </xf>
    <xf numFmtId="0" fontId="0" fillId="0" borderId="0" xfId="0" applyFill="1" applyAlignment="1">
      <alignment horizontal="left" vertical="center"/>
    </xf>
    <xf numFmtId="0" fontId="48" fillId="0" borderId="0" xfId="0" applyFont="1" applyFill="1" applyAlignment="1" applyProtection="1">
      <alignment horizontal="left" vertical="center"/>
    </xf>
    <xf numFmtId="0" fontId="28" fillId="0" borderId="0" xfId="0" applyFont="1" applyAlignment="1" applyProtection="1">
      <alignment vertical="center"/>
    </xf>
    <xf numFmtId="0" fontId="33" fillId="0" borderId="57" xfId="0" applyFont="1" applyFill="1" applyBorder="1" applyAlignment="1" applyProtection="1">
      <alignment horizontal="center" vertical="center"/>
    </xf>
    <xf numFmtId="0" fontId="33" fillId="0" borderId="57" xfId="0" applyFont="1" applyFill="1" applyBorder="1" applyAlignment="1" applyProtection="1">
      <alignment vertical="center"/>
    </xf>
    <xf numFmtId="0" fontId="33" fillId="0" borderId="57" xfId="0" applyFont="1" applyBorder="1" applyAlignment="1" applyProtection="1">
      <alignment vertical="center"/>
    </xf>
    <xf numFmtId="0" fontId="48" fillId="0" borderId="0" xfId="0" applyFont="1" applyFill="1" applyAlignment="1" applyProtection="1">
      <alignment horizontal="left" vertical="center"/>
      <protection hidden="1"/>
    </xf>
    <xf numFmtId="0" fontId="28"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28" fillId="41" borderId="146" xfId="0" applyFont="1" applyFill="1" applyBorder="1" applyAlignment="1" applyProtection="1">
      <alignment vertical="center"/>
      <protection hidden="1"/>
    </xf>
    <xf numFmtId="0" fontId="37" fillId="0" borderId="0" xfId="0" applyFont="1" applyFill="1" applyAlignment="1" applyProtection="1">
      <alignment vertical="center"/>
      <protection hidden="1"/>
    </xf>
    <xf numFmtId="0" fontId="28" fillId="0" borderId="0" xfId="0" applyFont="1" applyFill="1" applyAlignment="1" applyProtection="1">
      <alignment horizontal="left" vertical="center"/>
      <protection hidden="1"/>
    </xf>
    <xf numFmtId="0" fontId="26" fillId="0" borderId="0" xfId="0" applyFont="1" applyFill="1" applyAlignment="1" applyProtection="1">
      <alignment vertical="center"/>
      <protection hidden="1"/>
    </xf>
    <xf numFmtId="0" fontId="45" fillId="0" borderId="0" xfId="0" applyFont="1" applyFill="1" applyAlignment="1" applyProtection="1">
      <alignment vertical="center"/>
      <protection hidden="1"/>
    </xf>
    <xf numFmtId="0" fontId="151" fillId="0" borderId="0" xfId="0" applyFont="1" applyFill="1" applyAlignment="1" applyProtection="1">
      <alignment vertical="center"/>
      <protection hidden="1"/>
    </xf>
    <xf numFmtId="0" fontId="45" fillId="0" borderId="0" xfId="0" applyFont="1" applyFill="1" applyBorder="1" applyAlignment="1" applyProtection="1">
      <alignment horizontal="left" vertical="center"/>
      <protection hidden="1"/>
    </xf>
    <xf numFmtId="0" fontId="48" fillId="0" borderId="0" xfId="0" applyFont="1" applyFill="1" applyAlignment="1" applyProtection="1">
      <alignment vertical="center"/>
      <protection hidden="1"/>
    </xf>
    <xf numFmtId="0" fontId="27" fillId="0" borderId="0" xfId="0" applyFont="1" applyFill="1" applyBorder="1" applyAlignment="1">
      <alignment horizontal="left" vertical="center"/>
    </xf>
    <xf numFmtId="0" fontId="152" fillId="0" borderId="0" xfId="0" applyFont="1" applyFill="1" applyBorder="1" applyAlignment="1" applyProtection="1">
      <alignment vertical="center"/>
      <protection hidden="1"/>
    </xf>
    <xf numFmtId="0" fontId="23" fillId="0" borderId="0" xfId="0" applyFont="1" applyFill="1" applyBorder="1" applyAlignment="1" applyProtection="1">
      <alignment horizontal="right" vertical="center"/>
      <protection hidden="1"/>
    </xf>
    <xf numFmtId="0" fontId="23" fillId="0" borderId="0" xfId="0" applyFont="1" applyFill="1" applyBorder="1" applyAlignment="1" applyProtection="1">
      <alignment vertical="center"/>
      <protection hidden="1"/>
    </xf>
    <xf numFmtId="0" fontId="151" fillId="0" borderId="0" xfId="0" applyFont="1" applyFill="1" applyBorder="1" applyAlignment="1" applyProtection="1">
      <alignment vertical="center"/>
      <protection hidden="1"/>
    </xf>
    <xf numFmtId="0" fontId="26" fillId="0" borderId="0" xfId="0" applyFont="1" applyFill="1" applyBorder="1" applyAlignment="1" applyProtection="1">
      <alignment horizontal="right" vertical="center"/>
      <protection hidden="1"/>
    </xf>
    <xf numFmtId="179" fontId="28" fillId="31" borderId="52"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centerContinuous" vertical="center"/>
      <protection hidden="1"/>
    </xf>
    <xf numFmtId="0" fontId="37" fillId="31" borderId="50" xfId="0" applyFont="1" applyFill="1" applyBorder="1" applyAlignment="1" applyProtection="1">
      <alignment horizontal="right" vertical="center"/>
      <protection hidden="1"/>
    </xf>
    <xf numFmtId="2" fontId="28" fillId="31" borderId="50" xfId="0" applyNumberFormat="1"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left" vertical="center"/>
      <protection hidden="1"/>
    </xf>
    <xf numFmtId="2" fontId="28" fillId="31" borderId="27" xfId="0" applyNumberFormat="1" applyFont="1" applyFill="1" applyBorder="1" applyAlignment="1" applyProtection="1">
      <alignment horizontal="left" vertical="center"/>
      <protection hidden="1"/>
    </xf>
    <xf numFmtId="203" fontId="26" fillId="31" borderId="146" xfId="0" applyNumberFormat="1" applyFont="1" applyFill="1" applyBorder="1" applyAlignment="1" applyProtection="1">
      <alignment horizontal="center" vertical="center"/>
      <protection locked="0" hidden="1"/>
    </xf>
    <xf numFmtId="181" fontId="28" fillId="31" borderId="56" xfId="0" applyNumberFormat="1" applyFont="1" applyFill="1" applyBorder="1" applyAlignment="1" applyProtection="1">
      <alignment horizontal="centerContinuous" vertical="center" wrapText="1"/>
      <protection hidden="1"/>
    </xf>
    <xf numFmtId="181" fontId="28" fillId="31" borderId="55"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Continuous" vertical="center"/>
      <protection hidden="1"/>
    </xf>
    <xf numFmtId="181" fontId="28" fillId="31" borderId="50" xfId="0" applyNumberFormat="1" applyFont="1" applyFill="1" applyBorder="1" applyAlignment="1" applyProtection="1">
      <alignment horizontal="centerContinuous" vertical="center"/>
      <protection hidden="1"/>
    </xf>
    <xf numFmtId="181" fontId="28" fillId="31" borderId="27" xfId="0" applyNumberFormat="1" applyFont="1" applyFill="1" applyBorder="1" applyAlignment="1" applyProtection="1">
      <alignment horizontal="centerContinuous" vertical="center"/>
      <protection hidden="1"/>
    </xf>
    <xf numFmtId="181" fontId="26" fillId="27" borderId="165" xfId="0" applyNumberFormat="1" applyFont="1" applyFill="1" applyBorder="1" applyAlignment="1" applyProtection="1">
      <alignment horizontal="center" vertical="center"/>
      <protection hidden="1"/>
    </xf>
    <xf numFmtId="181" fontId="28" fillId="27" borderId="166" xfId="0" applyNumberFormat="1" applyFont="1" applyFill="1" applyBorder="1" applyAlignment="1" applyProtection="1">
      <alignment horizontal="left" vertical="center" wrapText="1"/>
      <protection hidden="1"/>
    </xf>
    <xf numFmtId="181" fontId="28" fillId="27" borderId="166"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181" fontId="28" fillId="27" borderId="168"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 vertical="center"/>
      <protection hidden="1"/>
    </xf>
    <xf numFmtId="181" fontId="28" fillId="27" borderId="11" xfId="0" applyNumberFormat="1" applyFont="1" applyFill="1" applyBorder="1" applyAlignment="1" applyProtection="1">
      <alignment vertical="center" shrinkToFit="1"/>
      <protection hidden="1"/>
    </xf>
    <xf numFmtId="181" fontId="28" fillId="27" borderId="14" xfId="0" applyNumberFormat="1" applyFont="1" applyFill="1" applyBorder="1" applyAlignment="1" applyProtection="1">
      <alignment vertical="center" shrinkToFit="1"/>
      <protection hidden="1"/>
    </xf>
    <xf numFmtId="181" fontId="28" fillId="27" borderId="12"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horizontal="left" vertical="center"/>
      <protection hidden="1"/>
    </xf>
    <xf numFmtId="181" fontId="28" fillId="27" borderId="13"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protection hidden="1"/>
    </xf>
    <xf numFmtId="181" fontId="28" fillId="27" borderId="11"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vertical="center" wrapText="1"/>
      <protection hidden="1"/>
    </xf>
    <xf numFmtId="181" fontId="28" fillId="27" borderId="11" xfId="0" applyNumberFormat="1" applyFont="1" applyFill="1" applyBorder="1" applyAlignment="1" applyProtection="1">
      <alignment vertical="center" wrapText="1"/>
      <protection hidden="1"/>
    </xf>
    <xf numFmtId="181" fontId="28" fillId="27" borderId="14" xfId="0" applyNumberFormat="1" applyFont="1" applyFill="1" applyBorder="1" applyAlignment="1" applyProtection="1">
      <alignment vertical="center" wrapText="1"/>
      <protection hidden="1"/>
    </xf>
    <xf numFmtId="181" fontId="26" fillId="27" borderId="170" xfId="0" applyNumberFormat="1" applyFont="1" applyFill="1" applyBorder="1" applyAlignment="1" applyProtection="1">
      <alignment horizontal="center" vertical="center"/>
      <protection hidden="1"/>
    </xf>
    <xf numFmtId="181" fontId="28" fillId="27" borderId="171" xfId="0" applyNumberFormat="1" applyFont="1" applyFill="1" applyBorder="1" applyAlignment="1" applyProtection="1">
      <alignment vertical="center" wrapText="1"/>
      <protection hidden="1"/>
    </xf>
    <xf numFmtId="181" fontId="28" fillId="27" borderId="170" xfId="0" applyNumberFormat="1" applyFont="1" applyFill="1" applyBorder="1" applyAlignment="1" applyProtection="1">
      <alignment vertical="center" wrapText="1"/>
      <protection hidden="1"/>
    </xf>
    <xf numFmtId="181" fontId="28" fillId="27" borderId="172"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horizontal="left" vertical="center"/>
      <protection hidden="1"/>
    </xf>
    <xf numFmtId="181" fontId="28" fillId="27" borderId="173" xfId="0" applyNumberFormat="1" applyFont="1" applyFill="1" applyBorder="1" applyAlignment="1" applyProtection="1">
      <alignment horizontal="left" vertical="center"/>
      <protection hidden="1"/>
    </xf>
    <xf numFmtId="181" fontId="28" fillId="27" borderId="172" xfId="0" applyNumberFormat="1" applyFont="1" applyFill="1" applyBorder="1" applyAlignment="1" applyProtection="1">
      <alignment horizontal="left" vertical="center"/>
      <protection hidden="1"/>
    </xf>
    <xf numFmtId="202" fontId="28" fillId="0" borderId="10" xfId="35" applyNumberFormat="1" applyFont="1" applyFill="1" applyBorder="1" applyAlignment="1" applyProtection="1">
      <alignment horizontal="center" vertical="center"/>
      <protection hidden="1"/>
    </xf>
    <xf numFmtId="0" fontId="26" fillId="0" borderId="0" xfId="0" applyFont="1" applyFill="1" applyProtection="1">
      <alignment vertical="center"/>
    </xf>
    <xf numFmtId="0" fontId="28" fillId="38" borderId="0" xfId="0" applyFont="1" applyFill="1" applyProtection="1">
      <alignment vertical="center"/>
    </xf>
    <xf numFmtId="0" fontId="28" fillId="27" borderId="10" xfId="0" applyFont="1" applyFill="1" applyBorder="1" applyProtection="1">
      <alignment vertical="center"/>
    </xf>
    <xf numFmtId="0" fontId="28" fillId="27" borderId="10" xfId="0" quotePrefix="1" applyFont="1" applyFill="1" applyBorder="1" applyAlignment="1" applyProtection="1">
      <alignment horizontal="center" vertical="center"/>
    </xf>
    <xf numFmtId="0" fontId="28" fillId="27" borderId="51" xfId="0" applyFont="1" applyFill="1" applyBorder="1" applyAlignment="1" applyProtection="1">
      <alignment horizontal="center" vertical="center"/>
    </xf>
    <xf numFmtId="0" fontId="28" fillId="27" borderId="26" xfId="0" applyFont="1" applyFill="1" applyBorder="1" applyProtection="1">
      <alignment vertical="center"/>
    </xf>
    <xf numFmtId="0" fontId="37" fillId="27" borderId="26" xfId="0" applyFont="1" applyFill="1" applyBorder="1" applyAlignment="1" applyProtection="1">
      <alignment horizontal="right" vertical="center"/>
    </xf>
    <xf numFmtId="0" fontId="37" fillId="27" borderId="50" xfId="0" applyFont="1" applyFill="1" applyBorder="1" applyAlignment="1" applyProtection="1">
      <alignment vertical="center"/>
    </xf>
    <xf numFmtId="0" fontId="37" fillId="27" borderId="50" xfId="0" applyFont="1" applyFill="1" applyBorder="1" applyAlignment="1" applyProtection="1">
      <alignment horizontal="center" vertical="center"/>
    </xf>
    <xf numFmtId="0" fontId="37" fillId="27" borderId="27" xfId="0" applyFont="1" applyFill="1" applyBorder="1" applyAlignment="1" applyProtection="1">
      <alignment vertical="center"/>
    </xf>
    <xf numFmtId="0" fontId="37" fillId="27" borderId="52" xfId="0" applyFont="1" applyFill="1" applyBorder="1" applyProtection="1">
      <alignment vertical="center"/>
    </xf>
    <xf numFmtId="0" fontId="37" fillId="27" borderId="53" xfId="0" applyFont="1" applyFill="1" applyBorder="1" applyProtection="1">
      <alignment vertical="center"/>
    </xf>
    <xf numFmtId="0" fontId="37" fillId="27" borderId="53" xfId="0" applyFont="1" applyFill="1" applyBorder="1" applyAlignment="1" applyProtection="1">
      <alignment vertical="top" wrapText="1"/>
    </xf>
    <xf numFmtId="0" fontId="37" fillId="27" borderId="53" xfId="0" applyFont="1" applyFill="1" applyBorder="1" applyAlignment="1" applyProtection="1">
      <alignment horizontal="center" vertical="top"/>
    </xf>
    <xf numFmtId="0" fontId="37" fillId="27" borderId="54" xfId="0" applyFont="1" applyFill="1" applyBorder="1" applyAlignment="1" applyProtection="1">
      <alignment horizontal="right" vertical="top" wrapText="1"/>
    </xf>
    <xf numFmtId="0" fontId="37" fillId="27" borderId="56" xfId="0" applyFont="1" applyFill="1" applyBorder="1" applyAlignment="1" applyProtection="1">
      <alignment vertical="center"/>
    </xf>
    <xf numFmtId="0" fontId="37" fillId="27" borderId="57" xfId="0" applyFont="1" applyFill="1" applyBorder="1" applyAlignment="1" applyProtection="1">
      <alignment vertical="center"/>
    </xf>
    <xf numFmtId="0" fontId="37" fillId="27" borderId="57" xfId="0" applyFont="1" applyFill="1" applyBorder="1" applyAlignment="1" applyProtection="1">
      <alignment horizontal="left" vertical="center"/>
    </xf>
    <xf numFmtId="0" fontId="37" fillId="27" borderId="57" xfId="0" applyFont="1" applyFill="1" applyBorder="1" applyAlignment="1" applyProtection="1">
      <alignment vertical="center" wrapText="1"/>
    </xf>
    <xf numFmtId="0" fontId="37" fillId="27" borderId="57" xfId="0" applyFont="1" applyFill="1" applyBorder="1" applyAlignment="1" applyProtection="1">
      <alignment horizontal="center" vertical="center"/>
    </xf>
    <xf numFmtId="0" fontId="37" fillId="27" borderId="58" xfId="0" applyFont="1" applyFill="1" applyBorder="1" applyAlignment="1" applyProtection="1">
      <alignment vertical="center" wrapText="1"/>
    </xf>
    <xf numFmtId="0" fontId="28" fillId="27" borderId="51" xfId="0" applyFont="1" applyFill="1" applyBorder="1" applyProtection="1">
      <alignment vertical="center"/>
    </xf>
    <xf numFmtId="0" fontId="37" fillId="27" borderId="54" xfId="0" applyFont="1" applyFill="1" applyBorder="1" applyProtection="1">
      <alignment vertical="center"/>
    </xf>
    <xf numFmtId="0" fontId="28" fillId="27" borderId="15" xfId="0" applyFont="1" applyFill="1" applyBorder="1" applyProtection="1">
      <alignment vertical="center"/>
    </xf>
    <xf numFmtId="0" fontId="37" fillId="27" borderId="0" xfId="0" applyFont="1" applyFill="1" applyBorder="1" applyProtection="1">
      <alignment vertical="center"/>
    </xf>
    <xf numFmtId="0" fontId="37" fillId="27" borderId="0" xfId="0" applyFont="1" applyFill="1" applyBorder="1" applyAlignment="1" applyProtection="1">
      <alignment horizontal="left" vertical="center"/>
    </xf>
    <xf numFmtId="0" fontId="37" fillId="27" borderId="0" xfId="0" applyFont="1" applyFill="1" applyBorder="1" applyAlignment="1" applyProtection="1">
      <alignment horizontal="center" vertical="center"/>
    </xf>
    <xf numFmtId="0" fontId="37" fillId="27" borderId="17" xfId="0" applyFont="1" applyFill="1" applyBorder="1" applyProtection="1">
      <alignment vertical="center"/>
    </xf>
    <xf numFmtId="0" fontId="37" fillId="27" borderId="17" xfId="0" applyFont="1" applyFill="1" applyBorder="1" applyAlignment="1" applyProtection="1">
      <alignment horizontal="center" vertical="center"/>
    </xf>
    <xf numFmtId="0" fontId="37" fillId="27" borderId="0" xfId="0" applyFont="1" applyFill="1" applyBorder="1" applyAlignment="1" applyProtection="1">
      <alignment vertical="top" wrapText="1"/>
    </xf>
    <xf numFmtId="0" fontId="37" fillId="27" borderId="57" xfId="0" applyFont="1" applyFill="1" applyBorder="1" applyProtection="1">
      <alignment vertical="center"/>
    </xf>
    <xf numFmtId="0" fontId="37" fillId="27" borderId="57" xfId="0" applyFont="1" applyFill="1" applyBorder="1" applyAlignment="1" applyProtection="1">
      <alignment horizontal="center" vertical="top" wrapText="1"/>
    </xf>
    <xf numFmtId="0" fontId="37" fillId="27" borderId="58" xfId="0" applyFont="1" applyFill="1" applyBorder="1" applyProtection="1">
      <alignment vertical="center"/>
    </xf>
    <xf numFmtId="0" fontId="37" fillId="38" borderId="0" xfId="0" applyFont="1" applyFill="1" applyProtection="1">
      <alignment vertical="center"/>
    </xf>
    <xf numFmtId="0" fontId="37" fillId="38" borderId="0" xfId="0" applyFont="1" applyFill="1" applyAlignment="1" applyProtection="1">
      <alignment horizontal="right" vertical="center"/>
    </xf>
    <xf numFmtId="0" fontId="28" fillId="38" borderId="0" xfId="0" applyFont="1" applyFill="1" applyAlignment="1" applyProtection="1">
      <alignment vertical="center"/>
      <protection hidden="1"/>
    </xf>
    <xf numFmtId="0" fontId="152" fillId="38" borderId="0" xfId="0" applyFont="1" applyFill="1" applyBorder="1" applyAlignment="1" applyProtection="1">
      <alignment vertical="center"/>
      <protection hidden="1"/>
    </xf>
    <xf numFmtId="0" fontId="26" fillId="38" borderId="0" xfId="0" applyFont="1" applyFill="1" applyBorder="1" applyAlignment="1" applyProtection="1">
      <alignment horizontal="right" vertical="center"/>
      <protection hidden="1"/>
    </xf>
    <xf numFmtId="0" fontId="151" fillId="38" borderId="0" xfId="0" applyFont="1" applyFill="1" applyBorder="1" applyAlignment="1" applyProtection="1">
      <alignment vertical="center"/>
    </xf>
    <xf numFmtId="0" fontId="23" fillId="38" borderId="0" xfId="0" applyFont="1" applyFill="1" applyBorder="1" applyAlignment="1" applyProtection="1">
      <alignment horizontal="right" vertical="center"/>
      <protection hidden="1"/>
    </xf>
    <xf numFmtId="209" fontId="26" fillId="31" borderId="146"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181" fontId="28" fillId="31" borderId="26" xfId="0" applyNumberFormat="1" applyFont="1" applyFill="1" applyBorder="1" applyAlignment="1" applyProtection="1">
      <alignment vertical="center"/>
      <protection hidden="1"/>
    </xf>
    <xf numFmtId="181" fontId="28" fillId="27" borderId="166" xfId="0" applyNumberFormat="1" applyFont="1" applyFill="1" applyBorder="1" applyAlignment="1" applyProtection="1">
      <alignment vertical="center" wrapText="1"/>
      <protection hidden="1"/>
    </xf>
    <xf numFmtId="0" fontId="28" fillId="0" borderId="0" xfId="0" applyFont="1" applyFill="1" applyAlignment="1" applyProtection="1">
      <alignment horizontal="left"/>
      <protection hidden="1"/>
    </xf>
    <xf numFmtId="0" fontId="26" fillId="0" borderId="0" xfId="0" applyFont="1" applyFill="1" applyAlignment="1" applyProtection="1">
      <protection hidden="1"/>
    </xf>
    <xf numFmtId="0" fontId="28" fillId="38" borderId="0" xfId="0" applyFont="1" applyFill="1" applyAlignment="1" applyProtection="1">
      <protection hidden="1"/>
    </xf>
    <xf numFmtId="0" fontId="28" fillId="38" borderId="0" xfId="0" applyFont="1" applyFill="1" applyAlignment="1" applyProtection="1"/>
    <xf numFmtId="0" fontId="28" fillId="31" borderId="146" xfId="0" applyFont="1" applyFill="1" applyBorder="1" applyAlignment="1" applyProtection="1">
      <alignment horizontal="center"/>
      <protection locked="0"/>
    </xf>
    <xf numFmtId="0" fontId="28" fillId="38" borderId="0" xfId="0" applyFont="1" applyFill="1" applyBorder="1" applyAlignment="1" applyProtection="1">
      <alignment horizontal="right"/>
      <protection hidden="1"/>
    </xf>
    <xf numFmtId="0" fontId="48" fillId="0" borderId="0" xfId="0" applyFont="1" applyFill="1" applyAlignment="1" applyProtection="1">
      <alignment horizontal="left"/>
      <protection hidden="1"/>
    </xf>
    <xf numFmtId="0" fontId="48" fillId="38" borderId="0" xfId="0" applyFont="1" applyFill="1" applyAlignment="1" applyProtection="1">
      <alignment horizontal="left"/>
      <protection hidden="1"/>
    </xf>
    <xf numFmtId="0" fontId="37" fillId="31" borderId="10" xfId="0" applyFont="1" applyFill="1" applyBorder="1" applyAlignment="1" applyProtection="1">
      <alignment horizontal="center"/>
    </xf>
    <xf numFmtId="0" fontId="28" fillId="31" borderId="10" xfId="0" applyFont="1" applyFill="1" applyBorder="1" applyAlignment="1" applyProtection="1">
      <alignment horizontal="center"/>
    </xf>
    <xf numFmtId="0" fontId="28" fillId="38" borderId="0" xfId="0" applyFont="1" applyFill="1" applyAlignment="1" applyProtection="1">
      <alignment horizontal="right" vertical="center"/>
    </xf>
    <xf numFmtId="0" fontId="28" fillId="27" borderId="10" xfId="0" applyFont="1" applyFill="1" applyBorder="1" applyAlignment="1" applyProtection="1">
      <alignment horizontal="left" vertical="center"/>
      <protection locked="0"/>
    </xf>
    <xf numFmtId="209" fontId="28" fillId="31" borderId="55" xfId="0" applyNumberFormat="1" applyFont="1" applyFill="1" applyBorder="1" applyAlignment="1" applyProtection="1">
      <alignment horizontal="center" vertical="center"/>
      <protection hidden="1"/>
    </xf>
    <xf numFmtId="0" fontId="28" fillId="31" borderId="50" xfId="0" applyFont="1" applyFill="1" applyBorder="1" applyAlignment="1" applyProtection="1">
      <alignment horizontal="centerContinuous" vertical="center"/>
      <protection hidden="1"/>
    </xf>
    <xf numFmtId="0" fontId="33" fillId="31" borderId="26" xfId="0" applyFont="1" applyFill="1" applyBorder="1" applyAlignment="1" applyProtection="1">
      <alignment horizontal="centerContinuous" vertical="center"/>
      <protection hidden="1"/>
    </xf>
    <xf numFmtId="0" fontId="33" fillId="31" borderId="27" xfId="0" applyFont="1" applyFill="1" applyBorder="1" applyAlignment="1" applyProtection="1">
      <alignment horizontal="centerContinuous" vertical="center"/>
      <protection hidden="1"/>
    </xf>
    <xf numFmtId="179" fontId="28" fillId="31" borderId="26" xfId="0" applyNumberFormat="1" applyFont="1" applyFill="1" applyBorder="1" applyAlignment="1" applyProtection="1">
      <alignment horizontal="right" vertical="center"/>
      <protection hidden="1"/>
    </xf>
    <xf numFmtId="193" fontId="28" fillId="31" borderId="27" xfId="0" applyNumberFormat="1" applyFont="1" applyFill="1" applyBorder="1" applyAlignment="1" applyProtection="1">
      <alignment horizontal="right" vertical="center"/>
      <protection hidden="1"/>
    </xf>
    <xf numFmtId="0" fontId="28" fillId="31" borderId="26" xfId="0" applyFont="1" applyFill="1" applyBorder="1" applyAlignment="1" applyProtection="1">
      <alignment horizontal="center" vertical="center"/>
    </xf>
    <xf numFmtId="193" fontId="28" fillId="31" borderId="27" xfId="0" applyNumberFormat="1" applyFont="1" applyFill="1" applyBorder="1" applyAlignment="1" applyProtection="1">
      <alignment vertical="center"/>
      <protection hidden="1"/>
    </xf>
    <xf numFmtId="9" fontId="28" fillId="27" borderId="174" xfId="0" applyNumberFormat="1" applyFont="1" applyFill="1" applyBorder="1" applyAlignment="1" applyProtection="1">
      <alignment horizontal="center" vertical="center"/>
      <protection locked="0" hidden="1"/>
    </xf>
    <xf numFmtId="0" fontId="28" fillId="38" borderId="0" xfId="0" applyFont="1" applyFill="1" applyAlignment="1" applyProtection="1">
      <alignment vertical="center"/>
    </xf>
    <xf numFmtId="9" fontId="28" fillId="27" borderId="175" xfId="0" applyNumberFormat="1" applyFont="1" applyFill="1" applyBorder="1" applyAlignment="1" applyProtection="1">
      <alignment horizontal="center" vertical="center"/>
      <protection locked="0" hidden="1"/>
    </xf>
    <xf numFmtId="0" fontId="37" fillId="27" borderId="80" xfId="0" applyFont="1" applyFill="1" applyBorder="1" applyAlignment="1" applyProtection="1">
      <alignment horizontal="left" vertical="center"/>
      <protection hidden="1"/>
    </xf>
    <xf numFmtId="0" fontId="6" fillId="27" borderId="27" xfId="0" applyFont="1" applyFill="1" applyBorder="1" applyAlignment="1">
      <alignment horizontal="left" vertical="center" wrapText="1"/>
    </xf>
    <xf numFmtId="0" fontId="37" fillId="27" borderId="26" xfId="0"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centerContinuous" vertical="center"/>
      <protection hidden="1"/>
    </xf>
    <xf numFmtId="0" fontId="28" fillId="31" borderId="27" xfId="0" applyFont="1" applyFill="1" applyBorder="1" applyAlignment="1" applyProtection="1">
      <alignment horizontal="centerContinuous" vertical="center"/>
      <protection hidden="1"/>
    </xf>
    <xf numFmtId="0" fontId="33" fillId="31" borderId="56" xfId="0" applyFont="1" applyFill="1" applyBorder="1" applyAlignment="1" applyProtection="1">
      <alignment horizontal="centerContinuous" vertical="center"/>
      <protection hidden="1"/>
    </xf>
    <xf numFmtId="9" fontId="28" fillId="27" borderId="176" xfId="0" applyNumberFormat="1" applyFont="1" applyFill="1" applyBorder="1" applyAlignment="1" applyProtection="1">
      <alignment horizontal="center" vertical="center"/>
      <protection locked="0" hidden="1"/>
    </xf>
    <xf numFmtId="0" fontId="26" fillId="0" borderId="55" xfId="0" applyNumberFormat="1" applyFont="1" applyFill="1" applyBorder="1" applyAlignment="1" applyProtection="1">
      <alignment horizontal="center" vertical="center"/>
      <protection hidden="1"/>
    </xf>
    <xf numFmtId="0" fontId="26" fillId="38" borderId="55" xfId="0" applyNumberFormat="1" applyFont="1" applyFill="1" applyBorder="1" applyAlignment="1" applyProtection="1">
      <alignment horizontal="center" vertical="center"/>
      <protection hidden="1"/>
    </xf>
    <xf numFmtId="0" fontId="6" fillId="38" borderId="0" xfId="0" applyFont="1" applyFill="1" applyBorder="1" applyAlignment="1">
      <alignment horizontal="left" vertical="center" wrapText="1"/>
    </xf>
    <xf numFmtId="0" fontId="26" fillId="38" borderId="0" xfId="0" applyFont="1" applyFill="1" applyAlignment="1" applyProtection="1">
      <protection hidden="1"/>
    </xf>
    <xf numFmtId="0" fontId="28" fillId="0" borderId="0" xfId="0" applyFont="1" applyAlignment="1" applyProtection="1"/>
    <xf numFmtId="181" fontId="28" fillId="31" borderId="50" xfId="0" applyNumberFormat="1" applyFont="1" applyFill="1" applyBorder="1" applyAlignment="1" applyProtection="1">
      <alignment horizontal="right" vertical="center"/>
      <protection hidden="1"/>
    </xf>
    <xf numFmtId="0" fontId="48" fillId="38" borderId="0" xfId="0" applyFont="1" applyFill="1" applyAlignment="1" applyProtection="1">
      <alignment horizontal="left" vertical="center"/>
      <protection hidden="1"/>
    </xf>
    <xf numFmtId="0" fontId="26" fillId="0" borderId="0" xfId="0" applyNumberFormat="1" applyFont="1" applyFill="1" applyBorder="1" applyAlignment="1" applyProtection="1">
      <alignment horizontal="center" vertical="center"/>
      <protection hidden="1"/>
    </xf>
    <xf numFmtId="0" fontId="45" fillId="0" borderId="0" xfId="0" applyFont="1" applyFill="1" applyAlignment="1" applyProtection="1">
      <alignment horizontal="left" vertical="center"/>
      <protection hidden="1"/>
    </xf>
    <xf numFmtId="0" fontId="152" fillId="38" borderId="0" xfId="0" applyFont="1" applyFill="1" applyAlignment="1" applyProtection="1">
      <alignment vertical="center"/>
      <protection hidden="1"/>
    </xf>
    <xf numFmtId="0" fontId="151" fillId="38" borderId="0" xfId="0" applyFont="1" applyFill="1" applyAlignment="1" applyProtection="1">
      <alignment vertical="center"/>
      <protection hidden="1"/>
    </xf>
    <xf numFmtId="0" fontId="45" fillId="38" borderId="0" xfId="0" applyFont="1" applyFill="1" applyBorder="1" applyAlignment="1" applyProtection="1">
      <alignment vertical="center"/>
      <protection hidden="1"/>
    </xf>
    <xf numFmtId="181" fontId="28" fillId="31" borderId="26" xfId="0" applyNumberFormat="1" applyFont="1" applyFill="1" applyBorder="1" applyAlignment="1" applyProtection="1">
      <alignment horizontal="centerContinuous" vertical="center"/>
      <protection hidden="1"/>
    </xf>
    <xf numFmtId="0" fontId="28" fillId="27" borderId="10" xfId="0" applyFont="1" applyFill="1" applyBorder="1" applyAlignment="1" applyProtection="1">
      <alignment vertical="center"/>
      <protection hidden="1"/>
    </xf>
    <xf numFmtId="0" fontId="28" fillId="27" borderId="51" xfId="0" applyFont="1" applyFill="1" applyBorder="1" applyAlignment="1" applyProtection="1">
      <alignment vertical="center"/>
      <protection hidden="1"/>
    </xf>
    <xf numFmtId="181" fontId="26" fillId="27" borderId="16" xfId="0" applyNumberFormat="1" applyFont="1" applyFill="1" applyBorder="1" applyAlignment="1" applyProtection="1">
      <alignment horizontal="center" vertical="center"/>
      <protection hidden="1"/>
    </xf>
    <xf numFmtId="0" fontId="28" fillId="38" borderId="0" xfId="0" applyFont="1" applyFill="1" applyAlignment="1" applyProtection="1">
      <alignment horizontal="left" vertical="center"/>
      <protection hidden="1"/>
    </xf>
    <xf numFmtId="181" fontId="28" fillId="31" borderId="58" xfId="0" applyNumberFormat="1" applyFont="1" applyFill="1" applyBorder="1" applyAlignment="1" applyProtection="1">
      <alignment horizontal="centerContinuous" vertical="center"/>
      <protection hidden="1"/>
    </xf>
    <xf numFmtId="180" fontId="28" fillId="31" borderId="50" xfId="0" applyNumberFormat="1" applyFont="1" applyFill="1" applyBorder="1" applyAlignment="1" applyProtection="1">
      <alignment horizontal="centerContinuous" vertical="center"/>
      <protection hidden="1"/>
    </xf>
    <xf numFmtId="180" fontId="28" fillId="31" borderId="27" xfId="0" applyNumberFormat="1" applyFont="1" applyFill="1" applyBorder="1" applyAlignment="1" applyProtection="1">
      <alignment horizontal="centerContinuous" vertical="center"/>
      <protection hidden="1"/>
    </xf>
    <xf numFmtId="181" fontId="28" fillId="27" borderId="177" xfId="0" applyNumberFormat="1" applyFont="1" applyFill="1" applyBorder="1" applyAlignment="1" applyProtection="1">
      <alignment horizontal="left" vertical="center"/>
      <protection hidden="1"/>
    </xf>
    <xf numFmtId="181" fontId="28" fillId="27" borderId="87"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wrapText="1"/>
      <protection hidden="1"/>
    </xf>
    <xf numFmtId="181" fontId="26" fillId="0" borderId="0"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center" vertical="center"/>
      <protection hidden="1"/>
    </xf>
    <xf numFmtId="0" fontId="28" fillId="38" borderId="0" xfId="0" applyFont="1" applyFill="1" applyAlignment="1" applyProtection="1">
      <alignment vertical="top"/>
      <protection hidden="1"/>
    </xf>
    <xf numFmtId="0" fontId="28" fillId="0" borderId="0" xfId="0" applyFont="1" applyFill="1" applyAlignment="1" applyProtection="1">
      <alignment vertical="center"/>
    </xf>
    <xf numFmtId="0" fontId="28" fillId="38" borderId="53" xfId="0" applyFont="1" applyFill="1" applyBorder="1" applyAlignment="1" applyProtection="1">
      <alignment vertical="center"/>
      <protection hidden="1"/>
    </xf>
    <xf numFmtId="0" fontId="28" fillId="38" borderId="53" xfId="0" applyFont="1" applyFill="1" applyBorder="1" applyAlignment="1" applyProtection="1">
      <alignment horizontal="right" vertical="center"/>
      <protection hidden="1"/>
    </xf>
    <xf numFmtId="0" fontId="27" fillId="0" borderId="0" xfId="0" applyFont="1" applyFill="1" applyBorder="1" applyAlignment="1">
      <alignment vertical="center"/>
    </xf>
    <xf numFmtId="179" fontId="28" fillId="31" borderId="26" xfId="0" applyNumberFormat="1" applyFont="1" applyFill="1" applyBorder="1" applyAlignment="1" applyProtection="1">
      <alignment horizontal="left" vertical="center"/>
      <protection hidden="1"/>
    </xf>
    <xf numFmtId="0" fontId="28" fillId="31" borderId="50" xfId="0" applyFont="1" applyFill="1" applyBorder="1" applyAlignment="1" applyProtection="1">
      <alignment vertical="center"/>
    </xf>
    <xf numFmtId="179" fontId="28" fillId="31" borderId="50" xfId="0" applyNumberFormat="1" applyFont="1" applyFill="1" applyBorder="1" applyAlignment="1" applyProtection="1">
      <alignment horizontal="centerContinuous" vertical="center" wrapText="1"/>
      <protection hidden="1"/>
    </xf>
    <xf numFmtId="0" fontId="28" fillId="31" borderId="27" xfId="0" applyFont="1" applyFill="1" applyBorder="1" applyAlignment="1" applyProtection="1">
      <alignment vertical="center"/>
    </xf>
    <xf numFmtId="180" fontId="28" fillId="31" borderId="157" xfId="0" applyNumberFormat="1" applyFont="1" applyFill="1" applyBorder="1" applyAlignment="1" applyProtection="1">
      <alignment horizontal="centerContinuous" vertical="center"/>
      <protection hidden="1"/>
    </xf>
    <xf numFmtId="181" fontId="28" fillId="31" borderId="55" xfId="0" applyNumberFormat="1" applyFont="1" applyFill="1" applyBorder="1" applyAlignment="1" applyProtection="1">
      <alignment horizontal="centerContinuous" vertical="center"/>
      <protection hidden="1"/>
    </xf>
    <xf numFmtId="181" fontId="28" fillId="31" borderId="57" xfId="0" applyNumberFormat="1" applyFont="1" applyFill="1" applyBorder="1" applyAlignment="1" applyProtection="1">
      <alignment horizontal="centerContinuous" vertical="center"/>
      <protection hidden="1"/>
    </xf>
    <xf numFmtId="181" fontId="28" fillId="31" borderId="10" xfId="0" applyNumberFormat="1" applyFont="1" applyFill="1" applyBorder="1" applyAlignment="1" applyProtection="1">
      <alignment horizontal="centerContinuous" vertical="center"/>
      <protection hidden="1"/>
    </xf>
    <xf numFmtId="180" fontId="28" fillId="31" borderId="58" xfId="0" applyNumberFormat="1" applyFont="1" applyFill="1" applyBorder="1" applyAlignment="1" applyProtection="1">
      <alignment horizontal="centerContinuous" vertical="center"/>
      <protection hidden="1"/>
    </xf>
    <xf numFmtId="181" fontId="28" fillId="27" borderId="166" xfId="0" applyNumberFormat="1" applyFont="1" applyFill="1" applyBorder="1" applyAlignment="1" applyProtection="1">
      <alignment horizontal="left" vertical="center" shrinkToFit="1"/>
      <protection hidden="1"/>
    </xf>
    <xf numFmtId="181" fontId="28" fillId="27" borderId="16" xfId="0" applyNumberFormat="1" applyFont="1" applyFill="1" applyBorder="1" applyAlignment="1" applyProtection="1">
      <alignment vertical="center" wrapText="1"/>
      <protection hidden="1"/>
    </xf>
    <xf numFmtId="181" fontId="28" fillId="27" borderId="178" xfId="0" applyNumberFormat="1" applyFont="1" applyFill="1" applyBorder="1" applyAlignment="1" applyProtection="1">
      <alignment vertical="center" wrapText="1"/>
      <protection hidden="1"/>
    </xf>
    <xf numFmtId="181" fontId="28" fillId="27" borderId="179"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wrapText="1"/>
      <protection hidden="1"/>
    </xf>
    <xf numFmtId="181" fontId="26" fillId="0"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vertical="center" wrapText="1"/>
      <protection hidden="1"/>
    </xf>
    <xf numFmtId="181" fontId="26" fillId="38"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horizontal="left" vertical="center" wrapText="1"/>
      <protection hidden="1"/>
    </xf>
    <xf numFmtId="0" fontId="27" fillId="38" borderId="0" xfId="0" applyFont="1" applyFill="1" applyBorder="1" applyAlignment="1">
      <alignment horizontal="left" vertical="center"/>
    </xf>
    <xf numFmtId="0" fontId="28" fillId="27" borderId="180" xfId="0" applyFont="1" applyFill="1" applyBorder="1" applyAlignment="1" applyProtection="1">
      <alignment vertical="center"/>
      <protection hidden="1"/>
    </xf>
    <xf numFmtId="181" fontId="28" fillId="27" borderId="13" xfId="0" applyNumberFormat="1" applyFont="1" applyFill="1" applyBorder="1" applyAlignment="1" applyProtection="1">
      <alignment vertical="center" wrapText="1"/>
      <protection hidden="1"/>
    </xf>
    <xf numFmtId="179" fontId="28" fillId="31" borderId="27" xfId="0" applyNumberFormat="1" applyFont="1" applyFill="1" applyBorder="1" applyAlignment="1" applyProtection="1">
      <alignment horizontal="centerContinuous" vertical="center" wrapText="1"/>
      <protection hidden="1"/>
    </xf>
    <xf numFmtId="0" fontId="28" fillId="27" borderId="10" xfId="0" applyFont="1" applyFill="1" applyBorder="1" applyAlignment="1" applyProtection="1">
      <alignment horizontal="center" vertical="center"/>
      <protection hidden="1"/>
    </xf>
    <xf numFmtId="181" fontId="26" fillId="27" borderId="11" xfId="0" applyNumberFormat="1" applyFont="1" applyFill="1" applyBorder="1" applyAlignment="1" applyProtection="1">
      <alignment horizontal="center" vertical="center"/>
      <protection hidden="1"/>
    </xf>
    <xf numFmtId="181" fontId="28" fillId="27" borderId="170" xfId="0" applyNumberFormat="1" applyFont="1" applyFill="1" applyBorder="1" applyAlignment="1" applyProtection="1">
      <alignment horizontal="left" vertical="center" wrapText="1"/>
      <protection hidden="1"/>
    </xf>
    <xf numFmtId="179" fontId="28" fillId="31" borderId="26" xfId="0" applyNumberFormat="1" applyFont="1" applyFill="1" applyBorder="1" applyAlignment="1" applyProtection="1">
      <alignment horizontal="centerContinuous" vertical="center" wrapText="1"/>
      <protection hidden="1"/>
    </xf>
    <xf numFmtId="0" fontId="28" fillId="31" borderId="181" xfId="0" applyFont="1" applyFill="1" applyBorder="1" applyAlignment="1" applyProtection="1">
      <alignment horizontal="left" vertical="center"/>
      <protection hidden="1"/>
    </xf>
    <xf numFmtId="0" fontId="28" fillId="31" borderId="54" xfId="0" applyFont="1" applyFill="1" applyBorder="1" applyAlignment="1" applyProtection="1">
      <alignment horizontal="left" vertical="center"/>
      <protection hidden="1"/>
    </xf>
    <xf numFmtId="0" fontId="28" fillId="31" borderId="182" xfId="0" applyFont="1" applyFill="1" applyBorder="1" applyAlignment="1" applyProtection="1">
      <alignment horizontal="left" vertical="center"/>
      <protection hidden="1"/>
    </xf>
    <xf numFmtId="0" fontId="28" fillId="31" borderId="58" xfId="0" applyFont="1" applyFill="1" applyBorder="1" applyAlignment="1" applyProtection="1">
      <alignment horizontal="left" vertical="center"/>
      <protection hidden="1"/>
    </xf>
    <xf numFmtId="181" fontId="28" fillId="27" borderId="178" xfId="0" applyNumberFormat="1" applyFont="1" applyFill="1" applyBorder="1" applyAlignment="1" applyProtection="1">
      <alignment horizontal="left" vertical="center"/>
      <protection hidden="1"/>
    </xf>
    <xf numFmtId="181" fontId="28" fillId="27" borderId="183" xfId="0" applyNumberFormat="1" applyFont="1" applyFill="1" applyBorder="1" applyAlignment="1" applyProtection="1">
      <alignment horizontal="left" vertical="center"/>
      <protection hidden="1"/>
    </xf>
    <xf numFmtId="181" fontId="28" fillId="27" borderId="184" xfId="0" applyNumberFormat="1" applyFont="1" applyFill="1" applyBorder="1" applyAlignment="1" applyProtection="1">
      <alignment horizontal="left" vertical="center"/>
      <protection hidden="1"/>
    </xf>
    <xf numFmtId="0" fontId="37" fillId="27" borderId="185"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center"/>
      <protection hidden="1"/>
    </xf>
    <xf numFmtId="0" fontId="28" fillId="0" borderId="0" xfId="0" applyFont="1" applyFill="1" applyBorder="1" applyAlignment="1" applyProtection="1">
      <alignment vertical="center"/>
      <protection hidden="1"/>
    </xf>
    <xf numFmtId="0" fontId="28" fillId="38" borderId="0" xfId="0" applyFont="1" applyFill="1" applyBorder="1" applyAlignment="1" applyProtection="1">
      <alignment vertical="center"/>
      <protection hidden="1"/>
    </xf>
    <xf numFmtId="181" fontId="28" fillId="27" borderId="12" xfId="0" applyNumberFormat="1" applyFont="1" applyFill="1" applyBorder="1" applyAlignment="1" applyProtection="1">
      <alignment vertical="center"/>
      <protection hidden="1"/>
    </xf>
    <xf numFmtId="181" fontId="28" fillId="27" borderId="13"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left" vertical="center" wrapText="1"/>
      <protection hidden="1"/>
    </xf>
    <xf numFmtId="0" fontId="48" fillId="0" borderId="0" xfId="29" applyFont="1" applyFill="1" applyAlignment="1" applyProtection="1">
      <alignment horizontal="left" vertical="center"/>
      <protection hidden="1"/>
    </xf>
    <xf numFmtId="181" fontId="28" fillId="27" borderId="166" xfId="0" applyNumberFormat="1" applyFont="1" applyFill="1" applyBorder="1" applyAlignment="1" applyProtection="1">
      <alignment vertical="center" shrinkToFit="1"/>
      <protection hidden="1"/>
    </xf>
    <xf numFmtId="0" fontId="28" fillId="27" borderId="52" xfId="0" applyFont="1" applyFill="1" applyBorder="1" applyAlignment="1" applyProtection="1">
      <alignment vertical="center"/>
      <protection hidden="1"/>
    </xf>
    <xf numFmtId="181" fontId="28" fillId="38" borderId="0" xfId="0" applyNumberFormat="1" applyFont="1" applyFill="1" applyBorder="1" applyAlignment="1" applyProtection="1">
      <alignment horizontal="left" vertical="center"/>
      <protection hidden="1"/>
    </xf>
    <xf numFmtId="181" fontId="28" fillId="38" borderId="0" xfId="0" applyNumberFormat="1" applyFont="1" applyFill="1" applyBorder="1" applyAlignment="1" applyProtection="1">
      <alignment horizontal="center" vertical="center"/>
      <protection hidden="1"/>
    </xf>
    <xf numFmtId="0" fontId="151" fillId="38" borderId="0" xfId="0" applyFont="1" applyFill="1" applyAlignment="1" applyProtection="1">
      <alignment vertical="center"/>
    </xf>
    <xf numFmtId="0" fontId="6" fillId="0" borderId="0" xfId="0" applyFont="1" applyFill="1" applyAlignment="1" applyProtection="1">
      <alignment vertical="center"/>
      <protection hidden="1"/>
    </xf>
    <xf numFmtId="0" fontId="6" fillId="38" borderId="0" xfId="0" applyFont="1" applyFill="1" applyAlignment="1" applyProtection="1">
      <alignment vertical="center"/>
      <protection hidden="1"/>
    </xf>
    <xf numFmtId="0" fontId="0" fillId="43" borderId="0" xfId="0" applyFill="1">
      <alignment vertical="center"/>
    </xf>
    <xf numFmtId="0" fontId="26" fillId="38" borderId="0" xfId="0" applyFont="1" applyFill="1" applyProtection="1">
      <alignment vertical="center"/>
      <protection hidden="1"/>
    </xf>
    <xf numFmtId="0" fontId="28" fillId="38" borderId="0" xfId="0" applyFont="1" applyFill="1" applyProtection="1">
      <alignment vertical="center"/>
      <protection hidden="1"/>
    </xf>
    <xf numFmtId="0" fontId="28" fillId="27" borderId="26" xfId="0" applyFont="1" applyFill="1" applyBorder="1" applyProtection="1">
      <alignment vertical="center"/>
      <protection hidden="1"/>
    </xf>
    <xf numFmtId="0" fontId="28" fillId="27" borderId="50" xfId="0" applyFont="1" applyFill="1" applyBorder="1" applyProtection="1">
      <alignment vertical="center"/>
      <protection hidden="1"/>
    </xf>
    <xf numFmtId="0" fontId="28" fillId="27" borderId="27" xfId="0" applyFont="1" applyFill="1" applyBorder="1" applyProtection="1">
      <alignment vertical="center"/>
      <protection hidden="1"/>
    </xf>
    <xf numFmtId="0" fontId="151" fillId="0" borderId="0" xfId="0" applyFont="1" applyFill="1" applyAlignment="1" applyProtection="1">
      <alignment vertical="center"/>
    </xf>
    <xf numFmtId="0" fontId="28" fillId="27" borderId="51" xfId="0" applyFont="1" applyFill="1" applyBorder="1" applyAlignment="1" applyProtection="1">
      <alignment vertical="center" wrapText="1"/>
      <protection hidden="1"/>
    </xf>
    <xf numFmtId="181" fontId="28" fillId="27" borderId="16" xfId="0" applyNumberFormat="1" applyFont="1" applyFill="1" applyBorder="1" applyAlignment="1" applyProtection="1">
      <alignment horizontal="left" vertical="center" wrapText="1"/>
      <protection hidden="1"/>
    </xf>
    <xf numFmtId="0" fontId="28" fillId="27" borderId="179" xfId="0" applyFont="1" applyFill="1" applyBorder="1" applyAlignment="1" applyProtection="1">
      <alignment vertical="center" shrinkToFit="1"/>
      <protection hidden="1"/>
    </xf>
    <xf numFmtId="0" fontId="28" fillId="27" borderId="11" xfId="0" applyFont="1" applyFill="1" applyBorder="1" applyAlignment="1">
      <alignment vertical="center" wrapText="1"/>
    </xf>
    <xf numFmtId="0" fontId="28" fillId="27" borderId="179" xfId="0" applyFont="1" applyFill="1" applyBorder="1" applyAlignment="1" applyProtection="1">
      <alignment vertical="center" wrapText="1"/>
      <protection hidden="1"/>
    </xf>
    <xf numFmtId="0" fontId="28" fillId="27" borderId="170" xfId="0" applyFont="1" applyFill="1" applyBorder="1" applyAlignment="1" applyProtection="1">
      <alignment vertical="center" shrinkToFit="1"/>
      <protection hidden="1"/>
    </xf>
    <xf numFmtId="0" fontId="6" fillId="38" borderId="0" xfId="0" applyFont="1" applyFill="1" applyAlignment="1" applyProtection="1">
      <alignment vertical="center"/>
    </xf>
    <xf numFmtId="0" fontId="152" fillId="38" borderId="57" xfId="0" applyFont="1" applyFill="1" applyBorder="1" applyAlignment="1" applyProtection="1">
      <alignment vertical="center"/>
      <protection hidden="1"/>
    </xf>
    <xf numFmtId="0" fontId="45" fillId="38" borderId="57" xfId="0" applyFont="1" applyFill="1" applyBorder="1" applyAlignment="1" applyProtection="1">
      <alignment vertical="center"/>
      <protection hidden="1"/>
    </xf>
    <xf numFmtId="0" fontId="37" fillId="31" borderId="26" xfId="0" applyFont="1" applyFill="1" applyBorder="1" applyAlignment="1" applyProtection="1">
      <alignment horizontal="right" vertical="center"/>
      <protection hidden="1"/>
    </xf>
    <xf numFmtId="179" fontId="28" fillId="31" borderId="10" xfId="0" applyNumberFormat="1" applyFont="1" applyFill="1" applyBorder="1" applyAlignment="1" applyProtection="1">
      <alignment horizontal="centerContinuous" vertical="center"/>
      <protection hidden="1"/>
    </xf>
    <xf numFmtId="180" fontId="28" fillId="31" borderId="80" xfId="0" applyNumberFormat="1" applyFont="1" applyFill="1" applyBorder="1" applyAlignment="1" applyProtection="1">
      <alignment horizontal="centerContinuous" vertical="center"/>
      <protection hidden="1"/>
    </xf>
    <xf numFmtId="181" fontId="26" fillId="42" borderId="165" xfId="0" applyNumberFormat="1" applyFont="1" applyFill="1" applyBorder="1" applyAlignment="1" applyProtection="1">
      <alignment horizontal="center" vertical="center"/>
      <protection hidden="1"/>
    </xf>
    <xf numFmtId="181" fontId="26" fillId="42" borderId="169" xfId="0" applyNumberFormat="1" applyFont="1" applyFill="1" applyBorder="1" applyAlignment="1" applyProtection="1">
      <alignment horizontal="center" vertical="center"/>
      <protection hidden="1"/>
    </xf>
    <xf numFmtId="181" fontId="26" fillId="42" borderId="170" xfId="0" applyNumberFormat="1" applyFont="1" applyFill="1" applyBorder="1" applyAlignment="1" applyProtection="1">
      <alignment horizontal="center" vertical="center"/>
      <protection hidden="1"/>
    </xf>
    <xf numFmtId="181" fontId="28" fillId="44" borderId="26" xfId="0" applyNumberFormat="1" applyFont="1" applyFill="1" applyBorder="1" applyAlignment="1" applyProtection="1">
      <alignment horizontal="centerContinuous" vertical="center"/>
      <protection hidden="1"/>
    </xf>
    <xf numFmtId="181" fontId="28" fillId="44" borderId="50" xfId="0" applyNumberFormat="1" applyFont="1" applyFill="1" applyBorder="1" applyAlignment="1" applyProtection="1">
      <alignment horizontal="centerContinuous" vertical="center"/>
      <protection hidden="1"/>
    </xf>
    <xf numFmtId="0" fontId="28" fillId="0" borderId="0" xfId="0" applyFont="1" applyBorder="1" applyAlignment="1" applyProtection="1">
      <alignment vertical="center"/>
      <protection hidden="1"/>
    </xf>
    <xf numFmtId="0" fontId="28" fillId="0" borderId="0" xfId="0" applyFont="1" applyProtection="1">
      <alignment vertical="center"/>
    </xf>
    <xf numFmtId="0" fontId="28" fillId="0" borderId="0" xfId="0" applyFont="1" applyFill="1" applyProtection="1">
      <alignment vertical="center"/>
    </xf>
    <xf numFmtId="0" fontId="150" fillId="0" borderId="0" xfId="0" applyFont="1" applyFill="1" applyProtection="1">
      <alignment vertical="center"/>
      <protection hidden="1"/>
    </xf>
    <xf numFmtId="0" fontId="26" fillId="0" borderId="0" xfId="0" applyFont="1" applyFill="1" applyProtection="1">
      <alignment vertical="center"/>
      <protection hidden="1"/>
    </xf>
    <xf numFmtId="0" fontId="45" fillId="0" borderId="0" xfId="0" applyFont="1" applyFill="1" applyProtection="1">
      <alignment vertical="center"/>
      <protection hidden="1"/>
    </xf>
    <xf numFmtId="0" fontId="152" fillId="0" borderId="0" xfId="0" applyFont="1" applyFill="1" applyAlignment="1" applyProtection="1">
      <alignment vertical="center"/>
      <protection hidden="1"/>
    </xf>
    <xf numFmtId="0" fontId="152" fillId="0" borderId="0" xfId="0" applyFont="1" applyFill="1" applyProtection="1">
      <alignment vertical="center"/>
      <protection hidden="1"/>
    </xf>
    <xf numFmtId="0" fontId="45"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181" fontId="26" fillId="27" borderId="177" xfId="0" applyNumberFormat="1" applyFont="1" applyFill="1" applyBorder="1" applyAlignment="1" applyProtection="1">
      <alignment horizontal="center" vertical="center"/>
      <protection hidden="1"/>
    </xf>
    <xf numFmtId="181" fontId="26" fillId="27" borderId="171" xfId="0" applyNumberFormat="1" applyFont="1" applyFill="1" applyBorder="1" applyAlignment="1" applyProtection="1">
      <alignment horizontal="center" vertical="center"/>
      <protection hidden="1"/>
    </xf>
    <xf numFmtId="181" fontId="28" fillId="31" borderId="56" xfId="0" applyNumberFormat="1" applyFont="1" applyFill="1" applyBorder="1" applyAlignment="1" applyProtection="1">
      <alignment horizontal="centerContinuous" vertical="center"/>
      <protection hidden="1"/>
    </xf>
    <xf numFmtId="0" fontId="45" fillId="38" borderId="0" xfId="0" applyFont="1" applyFill="1" applyProtection="1">
      <alignment vertical="center"/>
      <protection hidden="1"/>
    </xf>
    <xf numFmtId="0" fontId="45" fillId="38" borderId="0" xfId="0" applyFont="1" applyFill="1" applyAlignment="1" applyProtection="1">
      <alignment vertical="center"/>
      <protection hidden="1"/>
    </xf>
    <xf numFmtId="0" fontId="45" fillId="38" borderId="0" xfId="0" applyFont="1" applyFill="1" applyBorder="1" applyProtection="1">
      <alignment vertical="center"/>
      <protection hidden="1"/>
    </xf>
    <xf numFmtId="0" fontId="28" fillId="27" borderId="170" xfId="0" applyFont="1" applyFill="1" applyBorder="1" applyAlignment="1">
      <alignment vertical="center" wrapText="1"/>
    </xf>
    <xf numFmtId="181" fontId="28" fillId="0" borderId="17" xfId="0" applyNumberFormat="1" applyFont="1" applyFill="1" applyBorder="1" applyAlignment="1" applyProtection="1">
      <alignment horizontal="center" vertical="center"/>
      <protection hidden="1"/>
    </xf>
    <xf numFmtId="0" fontId="125" fillId="38" borderId="0" xfId="0" applyFont="1" applyFill="1" applyAlignment="1" applyProtection="1">
      <alignment vertical="center"/>
      <protection hidden="1"/>
    </xf>
    <xf numFmtId="0" fontId="28" fillId="38" borderId="0" xfId="0" applyFont="1" applyFill="1" applyAlignment="1" applyProtection="1">
      <alignment horizontal="center" vertical="center"/>
    </xf>
    <xf numFmtId="0" fontId="28" fillId="27" borderId="146" xfId="0" applyFont="1" applyFill="1" applyBorder="1" applyAlignment="1" applyProtection="1">
      <alignment horizontal="center" vertical="center"/>
      <protection locked="0"/>
    </xf>
    <xf numFmtId="0" fontId="28" fillId="38" borderId="57" xfId="0" applyFont="1" applyFill="1" applyBorder="1" applyAlignment="1" applyProtection="1">
      <alignment horizontal="left" wrapText="1"/>
      <protection hidden="1"/>
    </xf>
    <xf numFmtId="201" fontId="26" fillId="31" borderId="92" xfId="0" applyNumberFormat="1" applyFont="1" applyFill="1" applyBorder="1" applyAlignment="1" applyProtection="1">
      <alignment horizontal="center" vertical="center"/>
      <protection hidden="1"/>
    </xf>
    <xf numFmtId="0" fontId="28" fillId="27" borderId="50" xfId="0" applyFont="1" applyFill="1" applyBorder="1" applyAlignment="1" applyProtection="1">
      <alignment horizontal="centerContinuous" vertical="center"/>
      <protection hidden="1"/>
    </xf>
    <xf numFmtId="0" fontId="28" fillId="27" borderId="10" xfId="0" applyFont="1" applyFill="1" applyBorder="1" applyAlignment="1" applyProtection="1">
      <alignment horizontal="centerContinuous" vertical="center"/>
      <protection hidden="1"/>
    </xf>
    <xf numFmtId="0" fontId="6" fillId="38" borderId="0" xfId="0" applyFont="1" applyFill="1">
      <alignment vertical="center"/>
    </xf>
    <xf numFmtId="193" fontId="28" fillId="31" borderId="54"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Continuous" vertical="center"/>
      <protection hidden="1"/>
    </xf>
    <xf numFmtId="181" fontId="28" fillId="31" borderId="54" xfId="0" applyNumberFormat="1" applyFont="1" applyFill="1" applyBorder="1" applyAlignment="1" applyProtection="1">
      <alignment horizontal="centerContinuous" vertical="center"/>
      <protection hidden="1"/>
    </xf>
    <xf numFmtId="0" fontId="0" fillId="28" borderId="0" xfId="0" applyFill="1">
      <alignment vertical="center"/>
    </xf>
    <xf numFmtId="181" fontId="28" fillId="31" borderId="56" xfId="0" quotePrefix="1" applyNumberFormat="1" applyFont="1" applyFill="1" applyBorder="1" applyAlignment="1" applyProtection="1">
      <alignment horizontal="centerContinuous" vertical="center"/>
      <protection hidden="1"/>
    </xf>
    <xf numFmtId="0" fontId="48" fillId="0" borderId="0" xfId="0" applyFont="1" applyFill="1" applyAlignment="1" applyProtection="1">
      <alignment horizontal="center" vertical="center"/>
      <protection hidden="1"/>
    </xf>
    <xf numFmtId="0" fontId="28" fillId="27" borderId="166" xfId="0" applyFont="1" applyFill="1" applyBorder="1" applyAlignment="1" applyProtection="1">
      <alignment horizontal="left" vertical="center"/>
      <protection hidden="1"/>
    </xf>
    <xf numFmtId="0" fontId="28" fillId="27" borderId="167" xfId="0" applyFont="1" applyFill="1" applyBorder="1" applyAlignment="1" applyProtection="1">
      <alignment horizontal="left" vertical="center"/>
      <protection hidden="1"/>
    </xf>
    <xf numFmtId="0" fontId="28" fillId="27" borderId="168" xfId="0" applyFont="1" applyFill="1" applyBorder="1" applyAlignment="1" applyProtection="1">
      <alignment horizontal="left" vertical="center"/>
      <protection hidden="1"/>
    </xf>
    <xf numFmtId="0" fontId="28" fillId="27" borderId="12"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171" xfId="0" applyFont="1" applyFill="1" applyBorder="1" applyAlignment="1" applyProtection="1">
      <alignment horizontal="left" vertical="center"/>
      <protection hidden="1"/>
    </xf>
    <xf numFmtId="0" fontId="28" fillId="27" borderId="173" xfId="0" applyFont="1" applyFill="1" applyBorder="1" applyAlignment="1" applyProtection="1">
      <alignment horizontal="left" vertical="center"/>
      <protection hidden="1"/>
    </xf>
    <xf numFmtId="0" fontId="28" fillId="27" borderId="172" xfId="0" applyFont="1" applyFill="1" applyBorder="1" applyAlignment="1" applyProtection="1">
      <alignment horizontal="left" vertical="center"/>
      <protection hidden="1"/>
    </xf>
    <xf numFmtId="0" fontId="23" fillId="38" borderId="0" xfId="0" applyFont="1" applyFill="1" applyAlignment="1" applyProtection="1">
      <alignment vertical="center"/>
      <protection hidden="1"/>
    </xf>
    <xf numFmtId="0" fontId="28" fillId="38" borderId="0" xfId="0" applyFont="1" applyFill="1" applyAlignment="1" applyProtection="1">
      <alignment horizontal="left" vertical="top"/>
      <protection hidden="1"/>
    </xf>
    <xf numFmtId="0" fontId="28" fillId="27" borderId="27" xfId="0" applyFont="1" applyFill="1" applyBorder="1" applyAlignment="1" applyProtection="1">
      <alignment horizontal="centerContinuous" vertical="center"/>
      <protection hidden="1"/>
    </xf>
    <xf numFmtId="0" fontId="28" fillId="27" borderId="186" xfId="0" applyFont="1" applyFill="1" applyBorder="1" applyAlignment="1" applyProtection="1">
      <alignment vertical="center"/>
      <protection hidden="1"/>
    </xf>
    <xf numFmtId="0" fontId="28" fillId="27" borderId="167" xfId="0" applyFont="1" applyFill="1" applyBorder="1" applyAlignment="1" applyProtection="1">
      <alignment vertical="center"/>
      <protection hidden="1"/>
    </xf>
    <xf numFmtId="0" fontId="28" fillId="27" borderId="168" xfId="0" applyFont="1" applyFill="1" applyBorder="1" applyAlignment="1" applyProtection="1">
      <alignment vertical="center"/>
      <protection hidden="1"/>
    </xf>
    <xf numFmtId="0" fontId="28" fillId="27" borderId="187" xfId="0" applyFont="1" applyFill="1" applyBorder="1" applyAlignment="1" applyProtection="1">
      <alignment vertical="center"/>
      <protection hidden="1"/>
    </xf>
    <xf numFmtId="0" fontId="28" fillId="27" borderId="13" xfId="0" applyFont="1" applyFill="1" applyBorder="1" applyAlignment="1" applyProtection="1">
      <alignment vertical="center"/>
      <protection hidden="1"/>
    </xf>
    <xf numFmtId="0" fontId="28" fillId="27" borderId="14" xfId="0" applyFont="1" applyFill="1" applyBorder="1" applyAlignment="1" applyProtection="1">
      <alignment vertical="center"/>
      <protection hidden="1"/>
    </xf>
    <xf numFmtId="0" fontId="28" fillId="27" borderId="188" xfId="0" applyFont="1" applyFill="1" applyBorder="1" applyAlignment="1" applyProtection="1">
      <alignment vertical="center"/>
      <protection hidden="1"/>
    </xf>
    <xf numFmtId="0" fontId="28" fillId="27" borderId="173" xfId="0" applyFont="1" applyFill="1" applyBorder="1" applyAlignment="1" applyProtection="1">
      <alignment vertical="center"/>
      <protection hidden="1"/>
    </xf>
    <xf numFmtId="0" fontId="28" fillId="27" borderId="172" xfId="0" applyFont="1" applyFill="1" applyBorder="1" applyAlignment="1" applyProtection="1">
      <alignment vertical="center"/>
      <protection hidden="1"/>
    </xf>
    <xf numFmtId="0" fontId="151" fillId="27" borderId="56" xfId="0" applyFont="1" applyFill="1" applyBorder="1" applyAlignment="1" applyProtection="1">
      <alignment horizontal="center" vertical="center"/>
      <protection hidden="1"/>
    </xf>
    <xf numFmtId="195" fontId="45" fillId="27" borderId="50" xfId="0" applyNumberFormat="1" applyFont="1" applyFill="1" applyBorder="1" applyAlignment="1" applyProtection="1">
      <alignment horizontal="center" vertical="center" wrapText="1"/>
      <protection hidden="1"/>
    </xf>
    <xf numFmtId="0" fontId="28" fillId="27" borderId="50" xfId="0" applyFont="1" applyFill="1" applyBorder="1" applyAlignment="1" applyProtection="1">
      <alignment horizontal="center" vertical="center"/>
      <protection hidden="1"/>
    </xf>
    <xf numFmtId="196" fontId="26" fillId="27" borderId="50" xfId="0" applyNumberFormat="1" applyFont="1" applyFill="1" applyBorder="1" applyAlignment="1" applyProtection="1">
      <alignment horizontal="center" vertical="center" wrapText="1"/>
      <protection hidden="1"/>
    </xf>
    <xf numFmtId="196" fontId="26" fillId="27" borderId="27" xfId="0" applyNumberFormat="1" applyFont="1" applyFill="1" applyBorder="1" applyAlignment="1" applyProtection="1">
      <alignment horizontal="center" vertical="center" wrapText="1"/>
      <protection hidden="1"/>
    </xf>
    <xf numFmtId="0" fontId="28" fillId="27" borderId="51" xfId="0" applyFont="1" applyFill="1" applyBorder="1" applyAlignment="1" applyProtection="1">
      <alignment horizontal="center" vertical="center"/>
      <protection hidden="1"/>
    </xf>
    <xf numFmtId="206" fontId="23" fillId="39"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protection hidden="1"/>
    </xf>
    <xf numFmtId="206" fontId="23" fillId="39" borderId="175" xfId="0" applyNumberFormat="1" applyFont="1" applyFill="1" applyBorder="1" applyAlignment="1" applyProtection="1">
      <alignment horizontal="center" vertical="center"/>
      <protection locked="0" hidden="1"/>
    </xf>
    <xf numFmtId="0" fontId="6" fillId="27" borderId="11" xfId="0" applyFont="1" applyFill="1" applyBorder="1" applyAlignment="1" applyProtection="1">
      <alignment horizontal="center" vertical="center"/>
      <protection hidden="1"/>
    </xf>
    <xf numFmtId="206" fontId="23" fillId="39" borderId="176" xfId="0" applyNumberFormat="1" applyFont="1" applyFill="1" applyBorder="1" applyAlignment="1" applyProtection="1">
      <alignment horizontal="center" vertical="center"/>
      <protection locked="0" hidden="1"/>
    </xf>
    <xf numFmtId="0" fontId="6" fillId="27" borderId="179" xfId="0" applyFont="1" applyFill="1" applyBorder="1" applyAlignment="1" applyProtection="1">
      <alignment horizontal="center" vertical="center"/>
      <protection hidden="1"/>
    </xf>
    <xf numFmtId="178" fontId="26" fillId="27" borderId="27" xfId="0" applyNumberFormat="1" applyFont="1" applyFill="1" applyBorder="1" applyAlignment="1" applyProtection="1">
      <alignment horizontal="center" vertical="center" wrapText="1"/>
      <protection hidden="1"/>
    </xf>
    <xf numFmtId="206" fontId="23" fillId="27" borderId="174" xfId="0" applyNumberFormat="1" applyFont="1" applyFill="1" applyBorder="1" applyAlignment="1" applyProtection="1">
      <alignment horizontal="center" vertical="center"/>
      <protection locked="0" hidden="1"/>
    </xf>
    <xf numFmtId="206" fontId="23" fillId="27" borderId="175" xfId="0" applyNumberFormat="1" applyFont="1" applyFill="1" applyBorder="1" applyAlignment="1" applyProtection="1">
      <alignment horizontal="center" vertical="center"/>
      <protection locked="0" hidden="1"/>
    </xf>
    <xf numFmtId="206" fontId="23" fillId="27" borderId="176" xfId="0" applyNumberFormat="1" applyFont="1" applyFill="1" applyBorder="1" applyAlignment="1" applyProtection="1">
      <alignment horizontal="center" vertical="center"/>
      <protection locked="0" hidden="1"/>
    </xf>
    <xf numFmtId="0" fontId="28" fillId="27" borderId="54" xfId="0" applyFont="1" applyFill="1" applyBorder="1" applyAlignment="1" applyProtection="1">
      <alignment horizontal="centerContinuous" vertical="center"/>
      <protection hidden="1"/>
    </xf>
    <xf numFmtId="0" fontId="28" fillId="27" borderId="187" xfId="0" applyFont="1" applyFill="1" applyBorder="1" applyAlignment="1" applyProtection="1">
      <alignment horizontal="left" vertical="center"/>
      <protection hidden="1"/>
    </xf>
    <xf numFmtId="0" fontId="28" fillId="27" borderId="13" xfId="0" applyFont="1" applyFill="1" applyBorder="1" applyAlignment="1">
      <alignment vertical="center"/>
    </xf>
    <xf numFmtId="195" fontId="45" fillId="27" borderId="50" xfId="0" applyNumberFormat="1" applyFont="1" applyFill="1" applyBorder="1" applyAlignment="1" applyProtection="1">
      <alignment vertical="center" wrapText="1"/>
      <protection hidden="1"/>
    </xf>
    <xf numFmtId="0" fontId="0" fillId="25" borderId="0" xfId="0" applyFill="1">
      <alignment vertical="center"/>
    </xf>
    <xf numFmtId="0" fontId="28" fillId="27" borderId="10" xfId="0" quotePrefix="1" applyFont="1" applyFill="1" applyBorder="1" applyAlignment="1" applyProtection="1">
      <alignment horizontal="left" vertical="center"/>
      <protection hidden="1"/>
    </xf>
    <xf numFmtId="0" fontId="28" fillId="27" borderId="189" xfId="0" applyFont="1" applyFill="1" applyBorder="1" applyAlignment="1" applyProtection="1">
      <alignment horizontal="centerContinuous" vertical="center"/>
      <protection hidden="1"/>
    </xf>
    <xf numFmtId="0" fontId="28" fillId="27" borderId="118" xfId="0" applyFont="1" applyFill="1" applyBorder="1" applyAlignment="1" applyProtection="1">
      <alignment horizontal="centerContinuous" vertical="center"/>
      <protection hidden="1"/>
    </xf>
    <xf numFmtId="0" fontId="28" fillId="27" borderId="120" xfId="0" applyFont="1" applyFill="1" applyBorder="1" applyAlignment="1" applyProtection="1">
      <alignment horizontal="centerContinuous" vertical="center"/>
      <protection hidden="1"/>
    </xf>
    <xf numFmtId="0" fontId="33" fillId="29" borderId="0" xfId="0" applyFont="1" applyFill="1" applyBorder="1" applyAlignment="1" applyProtection="1">
      <alignment vertical="center" wrapText="1"/>
      <protection hidden="1"/>
    </xf>
    <xf numFmtId="0" fontId="28" fillId="38" borderId="77" xfId="0" applyFont="1" applyFill="1" applyBorder="1" applyAlignment="1" applyProtection="1">
      <alignment horizontal="center" vertical="center"/>
    </xf>
    <xf numFmtId="0" fontId="6" fillId="38" borderId="57" xfId="0" applyFont="1" applyFill="1" applyBorder="1">
      <alignment vertical="center"/>
    </xf>
    <xf numFmtId="0" fontId="48" fillId="38" borderId="57" xfId="0" applyFont="1" applyFill="1" applyBorder="1" applyAlignment="1" applyProtection="1">
      <alignment horizontal="left" vertical="center"/>
      <protection hidden="1"/>
    </xf>
    <xf numFmtId="217" fontId="23" fillId="27" borderId="92" xfId="0" applyNumberFormat="1" applyFont="1" applyFill="1" applyBorder="1" applyAlignment="1" applyProtection="1">
      <alignment horizontal="center" vertical="center"/>
      <protection locked="0" hidden="1"/>
    </xf>
    <xf numFmtId="0" fontId="6" fillId="27" borderId="51" xfId="0" quotePrefix="1" applyFont="1" applyFill="1" applyBorder="1" applyAlignment="1" applyProtection="1">
      <alignment horizontal="center" vertical="center"/>
      <protection hidden="1"/>
    </xf>
    <xf numFmtId="0" fontId="6" fillId="27" borderId="11" xfId="0" quotePrefix="1" applyFont="1" applyFill="1" applyBorder="1" applyAlignment="1" applyProtection="1">
      <alignment horizontal="center" vertical="center"/>
      <protection hidden="1"/>
    </xf>
    <xf numFmtId="0" fontId="6" fillId="27" borderId="170" xfId="0" applyFont="1" applyFill="1" applyBorder="1" applyAlignment="1" applyProtection="1">
      <alignment horizontal="center" vertical="center"/>
      <protection hidden="1"/>
    </xf>
    <xf numFmtId="217" fontId="23" fillId="27" borderId="175" xfId="0" applyNumberFormat="1" applyFont="1" applyFill="1" applyBorder="1" applyAlignment="1" applyProtection="1">
      <alignment horizontal="center" vertical="center"/>
      <protection locked="0" hidden="1"/>
    </xf>
    <xf numFmtId="0" fontId="33" fillId="38" borderId="0" xfId="0" applyFont="1" applyFill="1" applyAlignment="1" applyProtection="1">
      <alignment vertical="center"/>
      <protection hidden="1"/>
    </xf>
    <xf numFmtId="0" fontId="152" fillId="38" borderId="0" xfId="0" applyFont="1" applyFill="1" applyProtection="1">
      <alignment vertical="center"/>
      <protection hidden="1"/>
    </xf>
    <xf numFmtId="0" fontId="48" fillId="0" borderId="0" xfId="29" applyFont="1" applyFill="1" applyAlignment="1" applyProtection="1">
      <alignment horizontal="left"/>
      <protection hidden="1"/>
    </xf>
    <xf numFmtId="0" fontId="45" fillId="38" borderId="0" xfId="0" applyFont="1" applyFill="1" applyAlignment="1" applyProtection="1">
      <alignment horizontal="left" vertical="center"/>
      <protection hidden="1"/>
    </xf>
    <xf numFmtId="181" fontId="28" fillId="27" borderId="167" xfId="0" applyNumberFormat="1" applyFont="1" applyFill="1" applyBorder="1" applyAlignment="1" applyProtection="1">
      <alignment vertical="center" wrapText="1"/>
      <protection hidden="1"/>
    </xf>
    <xf numFmtId="0" fontId="28" fillId="38" borderId="0" xfId="0" applyFont="1" applyFill="1" applyBorder="1" applyProtection="1">
      <alignment vertical="center"/>
      <protection hidden="1"/>
    </xf>
    <xf numFmtId="181" fontId="28" fillId="0" borderId="0" xfId="0" applyNumberFormat="1" applyFont="1" applyFill="1" applyBorder="1" applyAlignment="1" applyProtection="1">
      <alignment vertical="center"/>
      <protection hidden="1"/>
    </xf>
    <xf numFmtId="0" fontId="28" fillId="38" borderId="0" xfId="0" applyFont="1" applyFill="1" applyBorder="1" applyProtection="1">
      <alignment vertical="center"/>
    </xf>
    <xf numFmtId="180" fontId="28" fillId="31" borderId="57" xfId="0" applyNumberFormat="1" applyFont="1" applyFill="1" applyBorder="1" applyAlignment="1" applyProtection="1">
      <alignment horizontal="centerContinuous" vertical="top"/>
      <protection hidden="1"/>
    </xf>
    <xf numFmtId="181" fontId="28" fillId="31" borderId="27" xfId="0" applyNumberFormat="1" applyFont="1" applyFill="1" applyBorder="1" applyAlignment="1" applyProtection="1">
      <alignment horizontal="centerContinuous" vertical="top"/>
      <protection hidden="1"/>
    </xf>
    <xf numFmtId="0" fontId="28" fillId="0" borderId="0" xfId="0" applyFont="1" applyFill="1" applyBorder="1" applyAlignment="1" applyProtection="1">
      <protection hidden="1"/>
    </xf>
    <xf numFmtId="181" fontId="26" fillId="38" borderId="0" xfId="0" applyNumberFormat="1" applyFont="1" applyFill="1" applyBorder="1" applyAlignment="1" applyProtection="1">
      <protection hidden="1"/>
    </xf>
    <xf numFmtId="181" fontId="28" fillId="38" borderId="0" xfId="0" applyNumberFormat="1" applyFont="1" applyFill="1" applyBorder="1" applyAlignment="1" applyProtection="1">
      <protection hidden="1"/>
    </xf>
    <xf numFmtId="0" fontId="28" fillId="38" borderId="0" xfId="0" applyFont="1" applyFill="1" applyBorder="1" applyAlignment="1" applyProtection="1">
      <protection hidden="1"/>
    </xf>
    <xf numFmtId="0" fontId="28" fillId="0" borderId="0" xfId="0" applyFont="1" applyFill="1" applyBorder="1" applyProtection="1">
      <alignment vertical="center"/>
      <protection hidden="1"/>
    </xf>
    <xf numFmtId="181" fontId="28" fillId="38" borderId="0" xfId="0" applyNumberFormat="1" applyFont="1" applyFill="1" applyBorder="1" applyAlignment="1" applyProtection="1">
      <alignment vertical="center"/>
      <protection hidden="1"/>
    </xf>
    <xf numFmtId="181" fontId="28" fillId="27" borderId="55" xfId="0" applyNumberFormat="1" applyFont="1" applyFill="1" applyBorder="1" applyAlignment="1" applyProtection="1">
      <alignment horizontal="centerContinuous" vertical="center"/>
      <protection hidden="1"/>
    </xf>
    <xf numFmtId="181" fontId="28" fillId="27" borderId="26" xfId="0" applyNumberFormat="1" applyFont="1" applyFill="1" applyBorder="1" applyAlignment="1" applyProtection="1">
      <alignment horizontal="centerContinuous" vertical="top" wrapText="1"/>
      <protection hidden="1"/>
    </xf>
    <xf numFmtId="193" fontId="28" fillId="27" borderId="27" xfId="0" applyNumberFormat="1" applyFont="1" applyFill="1" applyBorder="1" applyAlignment="1" applyProtection="1">
      <alignment horizontal="centerContinuous" vertical="center"/>
      <protection hidden="1"/>
    </xf>
    <xf numFmtId="0" fontId="28" fillId="27" borderId="10" xfId="0" applyNumberFormat="1" applyFont="1" applyFill="1" applyBorder="1" applyAlignment="1" applyProtection="1">
      <alignment horizontal="centerContinuous" vertical="center"/>
      <protection hidden="1"/>
    </xf>
    <xf numFmtId="193" fontId="28" fillId="27" borderId="26" xfId="0" applyNumberFormat="1" applyFont="1" applyFill="1" applyBorder="1" applyAlignment="1" applyProtection="1">
      <alignment horizontal="center" vertical="center"/>
      <protection hidden="1"/>
    </xf>
    <xf numFmtId="193" fontId="28" fillId="27" borderId="27" xfId="0" applyNumberFormat="1" applyFont="1" applyFill="1" applyBorder="1" applyAlignment="1" applyProtection="1">
      <alignment horizontal="center" vertical="center"/>
      <protection hidden="1"/>
    </xf>
    <xf numFmtId="0" fontId="28" fillId="27" borderId="51" xfId="0" applyNumberFormat="1" applyFont="1" applyFill="1" applyBorder="1" applyAlignment="1" applyProtection="1">
      <alignment horizontal="centerContinuous" vertical="center"/>
      <protection hidden="1"/>
    </xf>
    <xf numFmtId="201" fontId="26" fillId="27" borderId="26" xfId="0" applyNumberFormat="1" applyFont="1" applyFill="1" applyBorder="1" applyAlignment="1" applyProtection="1">
      <alignment horizontal="centerContinuous" vertical="center"/>
      <protection hidden="1"/>
    </xf>
    <xf numFmtId="194" fontId="26" fillId="27" borderId="27" xfId="0" applyNumberFormat="1" applyFont="1" applyFill="1" applyBorder="1" applyAlignment="1" applyProtection="1">
      <alignment horizontal="centerContinuous" vertical="center"/>
      <protection hidden="1"/>
    </xf>
    <xf numFmtId="194" fontId="26" fillId="27" borderId="174" xfId="0" applyNumberFormat="1" applyFont="1" applyFill="1" applyBorder="1" applyAlignment="1" applyProtection="1">
      <alignment horizontal="center" vertical="center"/>
      <protection locked="0"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194" fontId="26" fillId="27" borderId="175" xfId="0" applyNumberFormat="1" applyFont="1" applyFill="1" applyBorder="1" applyAlignment="1" applyProtection="1">
      <alignment horizontal="center" vertical="center"/>
      <protection locked="0" hidden="1"/>
    </xf>
    <xf numFmtId="0" fontId="26" fillId="27" borderId="115" xfId="0" applyFont="1" applyFill="1" applyBorder="1" applyAlignment="1" applyProtection="1">
      <alignment horizontal="center" vertical="center"/>
      <protection locked="0" hidden="1"/>
    </xf>
    <xf numFmtId="0" fontId="28" fillId="38" borderId="0" xfId="0" applyFont="1" applyFill="1" applyBorder="1" applyAlignment="1" applyProtection="1">
      <alignment horizontal="center" vertical="center"/>
      <protection hidden="1"/>
    </xf>
    <xf numFmtId="0" fontId="37" fillId="38" borderId="0" xfId="0" applyFont="1" applyFill="1" applyBorder="1" applyAlignment="1" applyProtection="1">
      <alignment horizontal="left" vertical="top" wrapText="1"/>
      <protection hidden="1"/>
    </xf>
    <xf numFmtId="181" fontId="28" fillId="27" borderId="10" xfId="0" applyNumberFormat="1" applyFont="1" applyFill="1" applyBorder="1" applyAlignment="1" applyProtection="1">
      <alignment horizontal="centerContinuous" vertical="center"/>
      <protection hidden="1"/>
    </xf>
    <xf numFmtId="193" fontId="28" fillId="27" borderId="50" xfId="0" applyNumberFormat="1"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hidden="1"/>
    </xf>
    <xf numFmtId="0" fontId="28" fillId="0" borderId="0" xfId="0" applyFont="1" applyFill="1" applyAlignment="1" applyProtection="1">
      <protection hidden="1"/>
    </xf>
    <xf numFmtId="181" fontId="28" fillId="27" borderId="10" xfId="0" applyNumberFormat="1" applyFont="1" applyFill="1" applyBorder="1" applyAlignment="1" applyProtection="1">
      <alignment horizontal="centerContinuous" vertical="top"/>
      <protection hidden="1"/>
    </xf>
    <xf numFmtId="181" fontId="28" fillId="27" borderId="27" xfId="0" applyNumberFormat="1" applyFont="1" applyFill="1" applyBorder="1" applyAlignment="1" applyProtection="1">
      <alignment horizontal="centerContinuous" vertical="top" wrapText="1"/>
      <protection hidden="1"/>
    </xf>
    <xf numFmtId="0" fontId="28" fillId="27" borderId="51" xfId="0" applyNumberFormat="1" applyFont="1" applyFill="1" applyBorder="1" applyAlignment="1" applyProtection="1">
      <alignment horizontal="centerContinuous" vertical="top"/>
      <protection hidden="1"/>
    </xf>
    <xf numFmtId="201" fontId="26" fillId="27" borderId="26" xfId="0" applyNumberFormat="1" applyFont="1" applyFill="1" applyBorder="1" applyAlignment="1" applyProtection="1">
      <alignment horizontal="centerContinuous" vertical="top"/>
      <protection hidden="1"/>
    </xf>
    <xf numFmtId="194" fontId="26" fillId="27" borderId="27" xfId="0" applyNumberFormat="1" applyFont="1" applyFill="1" applyBorder="1" applyAlignment="1" applyProtection="1">
      <alignment horizontal="centerContinuous" vertical="top"/>
      <protection hidden="1"/>
    </xf>
    <xf numFmtId="0" fontId="28" fillId="27" borderId="186" xfId="0" applyFont="1" applyFill="1" applyBorder="1" applyAlignment="1" applyProtection="1">
      <alignment horizontal="left" vertical="center"/>
      <protection hidden="1"/>
    </xf>
    <xf numFmtId="0" fontId="37" fillId="38" borderId="0" xfId="0" applyFont="1" applyFill="1" applyBorder="1" applyAlignment="1" applyProtection="1">
      <alignment vertical="top" wrapText="1"/>
      <protection hidden="1"/>
    </xf>
    <xf numFmtId="181" fontId="28" fillId="31" borderId="50" xfId="0" applyNumberFormat="1" applyFont="1" applyFill="1" applyBorder="1" applyAlignment="1" applyProtection="1">
      <alignment horizontal="centerContinuous" vertical="top"/>
      <protection hidden="1"/>
    </xf>
    <xf numFmtId="181" fontId="28" fillId="27" borderId="167" xfId="0" applyNumberFormat="1" applyFont="1" applyFill="1" applyBorder="1" applyAlignment="1" applyProtection="1">
      <alignment horizontal="left" vertical="top"/>
      <protection hidden="1"/>
    </xf>
    <xf numFmtId="181" fontId="28" fillId="27" borderId="13" xfId="0" applyNumberFormat="1" applyFont="1" applyFill="1" applyBorder="1" applyAlignment="1" applyProtection="1">
      <alignment horizontal="left" vertical="top"/>
      <protection hidden="1"/>
    </xf>
    <xf numFmtId="181" fontId="28" fillId="27" borderId="173" xfId="0" applyNumberFormat="1" applyFont="1" applyFill="1" applyBorder="1" applyAlignment="1" applyProtection="1">
      <alignment horizontal="left" vertical="top"/>
      <protection hidden="1"/>
    </xf>
    <xf numFmtId="200" fontId="26" fillId="31" borderId="92"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Continuous" vertical="top"/>
      <protection hidden="1"/>
    </xf>
    <xf numFmtId="0" fontId="28" fillId="27" borderId="167" xfId="0" applyFont="1" applyFill="1" applyBorder="1" applyAlignment="1">
      <alignment vertical="center"/>
    </xf>
    <xf numFmtId="0" fontId="28" fillId="27" borderId="168" xfId="0" applyFont="1" applyFill="1" applyBorder="1" applyAlignment="1">
      <alignment vertical="center"/>
    </xf>
    <xf numFmtId="0" fontId="28" fillId="27" borderId="14" xfId="0" applyFont="1" applyFill="1" applyBorder="1" applyAlignment="1">
      <alignment vertical="center"/>
    </xf>
    <xf numFmtId="0" fontId="6" fillId="38" borderId="0" xfId="0" applyFont="1" applyFill="1" applyBorder="1" applyAlignment="1" applyProtection="1">
      <alignment vertical="top" wrapText="1"/>
      <protection hidden="1"/>
    </xf>
    <xf numFmtId="181" fontId="28" fillId="27" borderId="168" xfId="0" applyNumberFormat="1" applyFont="1" applyFill="1" applyBorder="1" applyAlignment="1" applyProtection="1">
      <alignment horizontal="left" vertical="top"/>
      <protection hidden="1"/>
    </xf>
    <xf numFmtId="181" fontId="28" fillId="27" borderId="14" xfId="0" applyNumberFormat="1" applyFont="1" applyFill="1" applyBorder="1" applyAlignment="1" applyProtection="1">
      <alignment horizontal="left" vertical="top"/>
      <protection hidden="1"/>
    </xf>
    <xf numFmtId="181" fontId="28" fillId="27" borderId="172" xfId="0" applyNumberFormat="1" applyFont="1" applyFill="1" applyBorder="1" applyAlignment="1" applyProtection="1">
      <alignment horizontal="left" vertical="top"/>
      <protection hidden="1"/>
    </xf>
    <xf numFmtId="0" fontId="37" fillId="38" borderId="0" xfId="0" applyFont="1" applyFill="1" applyAlignment="1" applyProtection="1">
      <alignment horizontal="right" vertical="center"/>
      <protection hidden="1"/>
    </xf>
    <xf numFmtId="0" fontId="37" fillId="38" borderId="57" xfId="0" applyFont="1" applyFill="1" applyBorder="1" applyAlignment="1" applyProtection="1">
      <alignment horizontal="left" vertical="center"/>
      <protection hidden="1"/>
    </xf>
    <xf numFmtId="0" fontId="37" fillId="38" borderId="53" xfId="0" applyFont="1" applyFill="1" applyBorder="1" applyAlignment="1" applyProtection="1">
      <alignment horizontal="left" vertical="center"/>
      <protection hidden="1"/>
    </xf>
    <xf numFmtId="0" fontId="37" fillId="38" borderId="0" xfId="0" applyFont="1" applyFill="1" applyAlignment="1" applyProtection="1">
      <alignment horizontal="left" vertical="center"/>
      <protection hidden="1"/>
    </xf>
    <xf numFmtId="0" fontId="37" fillId="38" borderId="0" xfId="0" applyFont="1" applyFill="1" applyAlignment="1" applyProtection="1">
      <alignment horizontal="centerContinuous" vertical="center"/>
      <protection hidden="1"/>
    </xf>
    <xf numFmtId="0" fontId="48" fillId="0" borderId="0" xfId="0" applyFont="1" applyFill="1" applyBorder="1" applyAlignment="1" applyProtection="1">
      <alignment horizontal="left" vertical="center"/>
      <protection hidden="1"/>
    </xf>
    <xf numFmtId="181" fontId="37" fillId="38" borderId="0" xfId="0" applyNumberFormat="1" applyFont="1" applyFill="1" applyBorder="1" applyAlignment="1" applyProtection="1">
      <alignment vertical="top" wrapText="1"/>
      <protection hidden="1"/>
    </xf>
    <xf numFmtId="0" fontId="93" fillId="0" borderId="0" xfId="0" applyFont="1" applyFill="1" applyProtection="1">
      <alignment vertical="center"/>
      <protection hidden="1"/>
    </xf>
    <xf numFmtId="0" fontId="28" fillId="0" borderId="0" xfId="0" applyFont="1" applyProtection="1">
      <alignment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left" vertical="top"/>
      <protection hidden="1"/>
    </xf>
    <xf numFmtId="0" fontId="28" fillId="0" borderId="0" xfId="0" applyFont="1" applyFill="1" applyAlignment="1" applyProtection="1">
      <alignment horizontal="left" vertical="top"/>
      <protection hidden="1"/>
    </xf>
    <xf numFmtId="0" fontId="71" fillId="0" borderId="0" xfId="0" applyFont="1" applyAlignment="1" applyProtection="1">
      <alignment horizontal="left" vertical="center"/>
      <protection hidden="1"/>
    </xf>
    <xf numFmtId="0" fontId="149" fillId="0" borderId="0" xfId="0" applyFont="1" applyFill="1" applyProtection="1">
      <alignment vertical="center"/>
      <protection hidden="1"/>
    </xf>
    <xf numFmtId="0" fontId="150" fillId="0" borderId="0" xfId="0" applyFont="1" applyProtection="1">
      <alignment vertical="center"/>
      <protection hidden="1"/>
    </xf>
    <xf numFmtId="0" fontId="26" fillId="0" borderId="0" xfId="0" applyFont="1" applyFill="1" applyAlignment="1" applyProtection="1">
      <alignment horizontal="center" vertical="center"/>
      <protection hidden="1"/>
    </xf>
    <xf numFmtId="0" fontId="150" fillId="0" borderId="0" xfId="0" applyFont="1" applyFill="1" applyAlignment="1" applyProtection="1">
      <alignment horizontal="left" vertical="top"/>
      <protection hidden="1"/>
    </xf>
    <xf numFmtId="0" fontId="151" fillId="0" borderId="0" xfId="0" applyFont="1" applyFill="1" applyProtection="1">
      <alignment vertical="center"/>
      <protection hidden="1"/>
    </xf>
    <xf numFmtId="2" fontId="28" fillId="31" borderId="27" xfId="0" applyNumberFormat="1" applyFont="1" applyFill="1" applyBorder="1" applyAlignment="1" applyProtection="1">
      <alignment horizontal="center" vertical="center"/>
      <protection hidden="1"/>
    </xf>
    <xf numFmtId="199" fontId="26" fillId="31" borderId="146" xfId="0" applyNumberFormat="1" applyFont="1" applyFill="1" applyBorder="1" applyAlignment="1" applyProtection="1">
      <alignment horizontal="center" vertical="center"/>
      <protection hidden="1"/>
    </xf>
    <xf numFmtId="181" fontId="28" fillId="31" borderId="58" xfId="0" applyNumberFormat="1" applyFont="1" applyFill="1" applyBorder="1" applyAlignment="1" applyProtection="1">
      <alignment horizontal="center" vertical="center"/>
      <protection hidden="1"/>
    </xf>
    <xf numFmtId="0" fontId="125"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28" fillId="27" borderId="51" xfId="0" applyFont="1" applyFill="1" applyBorder="1" applyAlignment="1" applyProtection="1">
      <alignment horizontal="center" vertical="center" wrapText="1"/>
      <protection hidden="1"/>
    </xf>
    <xf numFmtId="0" fontId="28" fillId="27" borderId="27" xfId="0" applyFont="1" applyFill="1" applyBorder="1" applyAlignment="1" applyProtection="1">
      <alignment horizontal="center" vertical="center"/>
      <protection hidden="1"/>
    </xf>
    <xf numFmtId="206" fontId="23" fillId="31" borderId="92" xfId="0" applyNumberFormat="1" applyFont="1" applyFill="1" applyBorder="1" applyAlignment="1" applyProtection="1">
      <alignment horizontal="center" vertical="center"/>
      <protection locked="0" hidden="1"/>
    </xf>
    <xf numFmtId="0" fontId="6" fillId="27" borderId="16" xfId="0" quotePrefix="1" applyFont="1" applyFill="1" applyBorder="1" applyAlignment="1" applyProtection="1">
      <alignment horizontal="center" vertical="center" wrapText="1"/>
      <protection hidden="1"/>
    </xf>
    <xf numFmtId="206" fontId="23" fillId="31" borderId="190" xfId="0" applyNumberFormat="1" applyFont="1" applyFill="1" applyBorder="1" applyAlignment="1" applyProtection="1">
      <alignment horizontal="center" vertical="center"/>
      <protection locked="0" hidden="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6" fillId="27" borderId="14" xfId="0" quotePrefix="1"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206" fontId="23" fillId="31" borderId="175" xfId="0" applyNumberFormat="1" applyFont="1" applyFill="1" applyBorder="1" applyAlignment="1" applyProtection="1">
      <alignment horizontal="center" vertical="center"/>
      <protection locked="0" hidden="1"/>
    </xf>
    <xf numFmtId="206" fontId="23" fillId="31" borderId="176" xfId="0" applyNumberFormat="1" applyFont="1" applyFill="1" applyBorder="1" applyAlignment="1" applyProtection="1">
      <alignment horizontal="center" vertical="center"/>
      <protection locked="0"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28" fillId="0" borderId="62" xfId="0" applyFont="1" applyBorder="1" applyAlignment="1" applyProtection="1">
      <alignment horizontal="center" vertical="center"/>
    </xf>
    <xf numFmtId="207" fontId="23" fillId="27" borderId="174" xfId="0" applyNumberFormat="1" applyFont="1" applyFill="1" applyBorder="1" applyAlignment="1" applyProtection="1">
      <alignment horizontal="center" vertical="center"/>
      <protection locked="0" hidden="1"/>
    </xf>
    <xf numFmtId="207" fontId="23" fillId="27" borderId="175" xfId="0" applyNumberFormat="1" applyFont="1" applyFill="1" applyBorder="1" applyAlignment="1" applyProtection="1">
      <alignment horizontal="center" vertical="center"/>
      <protection locked="0" hidden="1"/>
    </xf>
    <xf numFmtId="0" fontId="6" fillId="27" borderId="14" xfId="0"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protection hidden="1"/>
    </xf>
    <xf numFmtId="0" fontId="6" fillId="27" borderId="179" xfId="0" applyFont="1" applyFill="1" applyBorder="1" applyAlignment="1" applyProtection="1">
      <alignment horizontal="center" vertical="center" wrapText="1"/>
      <protection hidden="1"/>
    </xf>
    <xf numFmtId="0" fontId="151" fillId="0" borderId="0" xfId="0" applyFont="1" applyFill="1" applyAlignment="1" applyProtection="1">
      <alignment horizontal="left" vertical="top"/>
      <protection hidden="1"/>
    </xf>
    <xf numFmtId="199" fontId="26" fillId="31" borderId="92" xfId="0" applyNumberFormat="1" applyFont="1" applyFill="1" applyBorder="1" applyAlignment="1" applyProtection="1">
      <alignment horizontal="center" vertical="center"/>
      <protection hidden="1"/>
    </xf>
    <xf numFmtId="207" fontId="23" fillId="31"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wrapText="1"/>
      <protection hidden="1"/>
    </xf>
    <xf numFmtId="207" fontId="23" fillId="31" borderId="175" xfId="0" applyNumberFormat="1" applyFont="1" applyFill="1" applyBorder="1" applyAlignment="1" applyProtection="1">
      <alignment horizontal="center" vertical="center"/>
      <protection locked="0" hidden="1"/>
    </xf>
    <xf numFmtId="207" fontId="23" fillId="31" borderId="190" xfId="0" applyNumberFormat="1" applyFont="1" applyFill="1" applyBorder="1" applyAlignment="1" applyProtection="1">
      <alignment horizontal="center" vertical="center"/>
      <protection locked="0"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protection hidden="1"/>
    </xf>
    <xf numFmtId="0" fontId="6" fillId="27" borderId="11" xfId="0" applyFont="1" applyFill="1" applyBorder="1" applyAlignment="1">
      <alignment horizontal="center" vertical="center" wrapText="1"/>
    </xf>
    <xf numFmtId="207" fontId="23" fillId="31" borderId="176" xfId="0" applyNumberFormat="1" applyFont="1" applyFill="1" applyBorder="1" applyAlignment="1" applyProtection="1">
      <alignment horizontal="center" vertical="center"/>
      <protection locked="0" hidden="1"/>
    </xf>
    <xf numFmtId="0" fontId="6" fillId="27" borderId="170" xfId="0" applyFont="1" applyFill="1" applyBorder="1" applyAlignment="1">
      <alignment horizontal="center" vertical="center" wrapText="1"/>
    </xf>
    <xf numFmtId="0" fontId="48" fillId="0" borderId="0" xfId="0" applyFont="1" applyFill="1" applyAlignment="1">
      <alignment horizontal="left" vertical="center"/>
    </xf>
    <xf numFmtId="0" fontId="28" fillId="0" borderId="0" xfId="0" applyFont="1" applyFill="1">
      <alignment vertical="center"/>
    </xf>
    <xf numFmtId="0" fontId="28" fillId="0" borderId="0" xfId="0" applyFont="1" applyFill="1" applyAlignment="1">
      <alignment vertical="center"/>
    </xf>
    <xf numFmtId="0" fontId="26" fillId="0" borderId="0" xfId="0" applyFont="1" applyFill="1" applyAlignment="1" applyProtection="1">
      <alignment horizontal="right" vertical="center"/>
      <protection hidden="1"/>
    </xf>
    <xf numFmtId="0" fontId="48" fillId="0" borderId="0" xfId="0" applyFont="1" applyAlignment="1">
      <alignment horizontal="left" vertical="center"/>
    </xf>
    <xf numFmtId="0" fontId="151" fillId="0" borderId="0" xfId="0" applyFont="1" applyFill="1">
      <alignment vertical="center"/>
    </xf>
    <xf numFmtId="0" fontId="28" fillId="31" borderId="50" xfId="0" applyFont="1" applyFill="1" applyBorder="1" applyAlignment="1">
      <alignment horizontal="centerContinuous" vertical="center"/>
    </xf>
    <xf numFmtId="0" fontId="28" fillId="31" borderId="55" xfId="0" applyFont="1" applyFill="1" applyBorder="1">
      <alignment vertical="center"/>
    </xf>
    <xf numFmtId="181" fontId="28" fillId="31" borderId="50" xfId="0" applyNumberFormat="1" applyFont="1" applyFill="1" applyBorder="1" applyAlignment="1" applyProtection="1">
      <alignment horizontal="left" vertical="center"/>
      <protection hidden="1"/>
    </xf>
    <xf numFmtId="181" fontId="28" fillId="31" borderId="56" xfId="0" applyNumberFormat="1" applyFont="1" applyFill="1" applyBorder="1" applyAlignment="1" applyProtection="1">
      <alignment horizontal="left" vertical="center"/>
      <protection hidden="1"/>
    </xf>
    <xf numFmtId="0" fontId="28" fillId="31" borderId="0" xfId="0" applyFont="1" applyFill="1" applyAlignment="1">
      <alignment vertical="center"/>
    </xf>
    <xf numFmtId="181" fontId="26" fillId="27" borderId="177" xfId="0" applyNumberFormat="1" applyFont="1" applyFill="1" applyBorder="1" applyAlignment="1" applyProtection="1">
      <alignment horizontal="centerContinuous" vertical="center"/>
      <protection hidden="1"/>
    </xf>
    <xf numFmtId="181" fontId="26" fillId="27" borderId="12" xfId="0" applyNumberFormat="1" applyFont="1" applyFill="1" applyBorder="1" applyAlignment="1" applyProtection="1">
      <alignment horizontal="centerContinuous" vertical="center"/>
      <protection hidden="1"/>
    </xf>
    <xf numFmtId="181" fontId="26" fillId="27" borderId="56" xfId="0" applyNumberFormat="1" applyFont="1" applyFill="1" applyBorder="1" applyAlignment="1" applyProtection="1">
      <alignment horizontal="centerContinuous" vertical="center"/>
      <protection hidden="1"/>
    </xf>
    <xf numFmtId="0" fontId="28" fillId="27" borderId="52" xfId="0" quotePrefix="1" applyNumberFormat="1" applyFont="1" applyFill="1" applyBorder="1" applyAlignment="1" applyProtection="1">
      <alignment vertical="center"/>
      <protection hidden="1"/>
    </xf>
    <xf numFmtId="0" fontId="28" fillId="27" borderId="64" xfId="0" quotePrefix="1" applyNumberFormat="1" applyFont="1" applyFill="1" applyBorder="1" applyAlignment="1" applyProtection="1">
      <alignment vertical="center"/>
      <protection hidden="1"/>
    </xf>
    <xf numFmtId="0" fontId="28" fillId="27" borderId="56" xfId="0" quotePrefix="1" applyNumberFormat="1" applyFont="1" applyFill="1" applyBorder="1" applyAlignment="1" applyProtection="1">
      <alignment vertical="center"/>
      <protection hidden="1"/>
    </xf>
    <xf numFmtId="0" fontId="23"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protection hidden="1"/>
    </xf>
    <xf numFmtId="0" fontId="28" fillId="27" borderId="50" xfId="0" applyFont="1" applyFill="1" applyBorder="1" applyAlignment="1" applyProtection="1">
      <alignment horizontal="left" vertical="center"/>
      <protection hidden="1"/>
    </xf>
    <xf numFmtId="181" fontId="28" fillId="31" borderId="53" xfId="0" applyNumberFormat="1" applyFont="1" applyFill="1" applyBorder="1" applyAlignment="1" applyProtection="1">
      <alignment horizontal="centerContinuous" vertical="center"/>
      <protection hidden="1"/>
    </xf>
    <xf numFmtId="0" fontId="26" fillId="0" borderId="0" xfId="0" applyFont="1">
      <alignment vertical="center"/>
    </xf>
    <xf numFmtId="181" fontId="28" fillId="29" borderId="0" xfId="0" applyNumberFormat="1" applyFont="1" applyFill="1" applyBorder="1" applyAlignment="1" applyProtection="1">
      <alignment vertical="center"/>
    </xf>
    <xf numFmtId="0" fontId="28" fillId="0" borderId="0" xfId="0" applyFont="1" applyFill="1" applyAlignment="1" applyProtection="1">
      <alignment horizontal="right" vertical="center"/>
      <protection hidden="1"/>
    </xf>
    <xf numFmtId="0" fontId="23" fillId="0" borderId="0" xfId="0" applyFont="1" applyFill="1">
      <alignment vertical="center"/>
    </xf>
    <xf numFmtId="176" fontId="28" fillId="31" borderId="26" xfId="0" applyNumberFormat="1" applyFont="1" applyFill="1" applyBorder="1" applyAlignment="1" applyProtection="1">
      <alignment horizontal="centerContinuous" vertical="center"/>
      <protection hidden="1"/>
    </xf>
    <xf numFmtId="176" fontId="28" fillId="31" borderId="53" xfId="0" applyNumberFormat="1" applyFont="1" applyFill="1" applyBorder="1" applyAlignment="1" applyProtection="1">
      <alignment horizontal="centerContinuous" vertical="center"/>
      <protection hidden="1"/>
    </xf>
    <xf numFmtId="188" fontId="26" fillId="27" borderId="146" xfId="35" applyNumberFormat="1" applyFont="1" applyFill="1" applyBorder="1" applyAlignment="1" applyProtection="1">
      <alignment horizontal="center" vertical="center"/>
      <protection locked="0"/>
    </xf>
    <xf numFmtId="0" fontId="33" fillId="27" borderId="10" xfId="0" applyNumberFormat="1" applyFont="1" applyFill="1" applyBorder="1" applyAlignment="1" applyProtection="1">
      <alignment horizontal="center" vertical="center"/>
      <protection hidden="1"/>
    </xf>
    <xf numFmtId="0" fontId="28" fillId="27" borderId="51" xfId="0" applyFont="1" applyFill="1" applyBorder="1" applyProtection="1">
      <alignment vertical="center"/>
      <protection hidden="1"/>
    </xf>
    <xf numFmtId="0" fontId="28" fillId="27" borderId="26"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protection hidden="1"/>
    </xf>
    <xf numFmtId="0" fontId="28" fillId="27" borderId="27" xfId="0" applyFont="1" applyFill="1" applyBorder="1" applyAlignment="1" applyProtection="1">
      <alignment horizontal="center"/>
      <protection hidden="1"/>
    </xf>
    <xf numFmtId="0" fontId="28" fillId="27" borderId="16" xfId="0" applyFont="1" applyFill="1" applyBorder="1" applyAlignment="1" applyProtection="1">
      <alignment horizontal="center" vertical="center"/>
      <protection hidden="1"/>
    </xf>
    <xf numFmtId="0" fontId="28" fillId="27" borderId="11" xfId="0"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xf>
    <xf numFmtId="0" fontId="28" fillId="27" borderId="56" xfId="0" applyFont="1" applyFill="1" applyBorder="1" applyAlignment="1" applyProtection="1">
      <alignment horizontal="left" vertical="center"/>
      <protection hidden="1"/>
    </xf>
    <xf numFmtId="0" fontId="48" fillId="0" borderId="0" xfId="0" applyFont="1" applyAlignment="1">
      <alignment horizontal="right" vertical="center"/>
    </xf>
    <xf numFmtId="199" fontId="26" fillId="31" borderId="10"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 vertical="center"/>
      <protection hidden="1"/>
    </xf>
    <xf numFmtId="0" fontId="6" fillId="0" borderId="0" xfId="0" applyFont="1" applyFill="1">
      <alignment vertical="center"/>
    </xf>
    <xf numFmtId="177" fontId="28" fillId="27" borderId="87"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Continuous" vertical="center"/>
      <protection hidden="1"/>
    </xf>
    <xf numFmtId="0" fontId="28" fillId="27" borderId="0" xfId="0" quotePrefix="1" applyNumberFormat="1" applyFont="1" applyFill="1" applyBorder="1" applyAlignment="1" applyProtection="1">
      <alignment vertical="center"/>
      <protection hidden="1"/>
    </xf>
    <xf numFmtId="181" fontId="26" fillId="27" borderId="11"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Continuous" vertical="center"/>
      <protection hidden="1"/>
    </xf>
    <xf numFmtId="0" fontId="28" fillId="27" borderId="57" xfId="0" quotePrefix="1" applyNumberFormat="1" applyFont="1" applyFill="1" applyBorder="1" applyAlignment="1" applyProtection="1">
      <alignment vertical="center"/>
      <protection hidden="1"/>
    </xf>
    <xf numFmtId="0" fontId="28" fillId="31" borderId="53" xfId="0" applyFont="1" applyFill="1" applyBorder="1" applyAlignment="1" applyProtection="1">
      <alignment horizontal="centerContinuous" vertical="center"/>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26" xfId="0" applyFont="1" applyFill="1" applyBorder="1" applyAlignment="1">
      <alignment horizontal="centerContinuous" vertical="center"/>
    </xf>
    <xf numFmtId="0" fontId="28" fillId="27" borderId="27" xfId="0" applyFont="1" applyFill="1" applyBorder="1" applyAlignment="1">
      <alignment horizontal="centerContinuous" vertical="center"/>
    </xf>
    <xf numFmtId="0" fontId="28" fillId="27" borderId="10" xfId="0" applyFont="1" applyFill="1" applyBorder="1" applyAlignment="1">
      <alignment horizontal="center" vertical="center" wrapText="1"/>
    </xf>
    <xf numFmtId="0" fontId="28" fillId="27" borderId="26" xfId="0" applyFont="1" applyFill="1" applyBorder="1" applyAlignment="1">
      <alignment horizontal="left" vertical="center"/>
    </xf>
    <xf numFmtId="0" fontId="28" fillId="27" borderId="50" xfId="0" applyFont="1" applyFill="1" applyBorder="1" applyAlignment="1">
      <alignment horizontal="left" vertical="center"/>
    </xf>
    <xf numFmtId="0" fontId="28" fillId="27" borderId="27" xfId="0" applyFont="1" applyFill="1" applyBorder="1" applyAlignment="1">
      <alignment horizontal="left" vertical="center"/>
    </xf>
    <xf numFmtId="0" fontId="28" fillId="27" borderId="55" xfId="0" applyFont="1" applyFill="1" applyBorder="1" applyAlignment="1" applyProtection="1">
      <alignment vertical="center"/>
      <protection hidden="1"/>
    </xf>
    <xf numFmtId="177" fontId="28" fillId="27" borderId="57" xfId="0" applyNumberFormat="1" applyFont="1" applyFill="1" applyBorder="1" applyAlignment="1" applyProtection="1">
      <alignment horizontal="left" vertical="center"/>
      <protection hidden="1"/>
    </xf>
    <xf numFmtId="0" fontId="6" fillId="0" borderId="57" xfId="0" applyFont="1" applyFill="1" applyBorder="1" applyAlignment="1" applyProtection="1">
      <alignment horizontal="center" vertical="center"/>
    </xf>
    <xf numFmtId="0" fontId="6" fillId="0" borderId="57" xfId="0" applyFont="1" applyFill="1" applyBorder="1" applyAlignment="1" applyProtection="1">
      <alignment vertical="center"/>
    </xf>
    <xf numFmtId="0" fontId="0" fillId="0" borderId="17" xfId="0" applyBorder="1">
      <alignment vertical="center"/>
    </xf>
    <xf numFmtId="0" fontId="33" fillId="27" borderId="0" xfId="0" applyFont="1" applyFill="1" applyBorder="1" applyAlignment="1" applyProtection="1">
      <alignment horizontal="right" vertical="center"/>
      <protection hidden="1"/>
    </xf>
    <xf numFmtId="0" fontId="33" fillId="27" borderId="10" xfId="0" applyFont="1" applyFill="1" applyBorder="1" applyAlignment="1">
      <alignment vertical="center" shrinkToFit="1"/>
    </xf>
    <xf numFmtId="0" fontId="0" fillId="0" borderId="0" xfId="0" applyBorder="1">
      <alignment vertical="center"/>
    </xf>
    <xf numFmtId="0" fontId="125" fillId="0" borderId="0" xfId="0" applyFont="1" applyFill="1" applyAlignment="1" applyProtection="1">
      <alignment horizontal="left" vertical="center"/>
      <protection hidden="1"/>
    </xf>
    <xf numFmtId="0" fontId="33" fillId="27" borderId="26" xfId="0" applyFont="1" applyFill="1" applyBorder="1" applyAlignment="1" applyProtection="1">
      <alignment horizontal="left" vertical="center"/>
      <protection hidden="1"/>
    </xf>
    <xf numFmtId="0" fontId="33" fillId="27" borderId="10" xfId="0" applyFont="1" applyFill="1" applyBorder="1" applyAlignment="1">
      <alignment horizontal="left" vertical="center" shrinkToFit="1"/>
    </xf>
    <xf numFmtId="38" fontId="6" fillId="0" borderId="0" xfId="35">
      <alignment vertical="center"/>
    </xf>
    <xf numFmtId="0" fontId="28" fillId="27" borderId="64" xfId="0" applyFont="1" applyFill="1" applyBorder="1">
      <alignment vertical="center"/>
    </xf>
    <xf numFmtId="0" fontId="33" fillId="0" borderId="57" xfId="0" applyFont="1" applyFill="1" applyBorder="1" applyAlignment="1" applyProtection="1">
      <alignment horizontal="center" vertical="top"/>
    </xf>
    <xf numFmtId="0" fontId="28" fillId="0" borderId="57" xfId="0" applyFont="1" applyBorder="1" applyProtection="1">
      <alignment vertical="center"/>
    </xf>
    <xf numFmtId="0" fontId="28" fillId="0" borderId="0" xfId="0" applyFont="1" applyFill="1" applyAlignment="1" applyProtection="1">
      <alignment vertical="top"/>
    </xf>
    <xf numFmtId="0" fontId="71" fillId="0" borderId="0" xfId="0" applyFont="1" applyAlignment="1">
      <alignment horizontal="left" vertical="center"/>
    </xf>
    <xf numFmtId="0" fontId="28" fillId="0" borderId="0" xfId="0" applyFont="1" applyFill="1" applyAlignment="1" applyProtection="1">
      <alignment vertical="top"/>
      <protection hidden="1"/>
    </xf>
    <xf numFmtId="0" fontId="151" fillId="0" borderId="0" xfId="0" applyFont="1" applyFill="1" applyAlignment="1" applyProtection="1">
      <alignment vertical="top"/>
      <protection hidden="1"/>
    </xf>
    <xf numFmtId="0" fontId="151" fillId="0" borderId="0" xfId="0" applyFont="1" applyFill="1" applyProtection="1">
      <alignment vertical="center"/>
    </xf>
    <xf numFmtId="181" fontId="37" fillId="27" borderId="168" xfId="0" applyNumberFormat="1" applyFont="1" applyFill="1" applyBorder="1" applyAlignment="1" applyProtection="1">
      <alignment vertical="top"/>
      <protection hidden="1"/>
    </xf>
    <xf numFmtId="181" fontId="37" fillId="27" borderId="17" xfId="0" applyNumberFormat="1" applyFont="1" applyFill="1" applyBorder="1" applyAlignment="1" applyProtection="1">
      <alignment vertical="top"/>
      <protection hidden="1"/>
    </xf>
    <xf numFmtId="181" fontId="37" fillId="27" borderId="184" xfId="0" applyNumberFormat="1" applyFont="1" applyFill="1" applyBorder="1" applyAlignment="1" applyProtection="1">
      <alignment vertical="top"/>
      <protection hidden="1"/>
    </xf>
    <xf numFmtId="181" fontId="37" fillId="27" borderId="172" xfId="0" applyNumberFormat="1" applyFont="1" applyFill="1" applyBorder="1" applyAlignment="1" applyProtection="1">
      <alignment vertical="top"/>
      <protection hidden="1"/>
    </xf>
    <xf numFmtId="0" fontId="37" fillId="0" borderId="0" xfId="0" applyFont="1" applyFill="1" applyAlignment="1" applyProtection="1">
      <alignment horizontal="right" vertical="center"/>
      <protection hidden="1"/>
    </xf>
    <xf numFmtId="0" fontId="37" fillId="0" borderId="0" xfId="0" applyFont="1" applyFill="1" applyBorder="1" applyAlignment="1" applyProtection="1">
      <alignment horizontal="left" vertical="center"/>
      <protection hidden="1"/>
    </xf>
    <xf numFmtId="0" fontId="152" fillId="0" borderId="0" xfId="0" applyFont="1" applyFill="1" applyAlignment="1" applyProtection="1">
      <alignment vertical="top"/>
      <protection hidden="1"/>
    </xf>
    <xf numFmtId="181" fontId="28" fillId="31" borderId="82" xfId="0" applyNumberFormat="1" applyFont="1" applyFill="1" applyBorder="1" applyAlignment="1" applyProtection="1">
      <alignment horizontal="centerContinuous" vertical="center"/>
      <protection hidden="1"/>
    </xf>
    <xf numFmtId="0" fontId="37" fillId="0" borderId="57" xfId="0" applyFont="1" applyFill="1" applyBorder="1" applyAlignment="1" applyProtection="1">
      <alignment horizontal="centerContinuous" vertical="center"/>
      <protection hidden="1"/>
    </xf>
    <xf numFmtId="0" fontId="45" fillId="0" borderId="0" xfId="0" applyFont="1" applyFill="1" applyAlignment="1" applyProtection="1">
      <alignment horizontal="left" vertical="top"/>
      <protection hidden="1"/>
    </xf>
    <xf numFmtId="0" fontId="37" fillId="0" borderId="0" xfId="0" applyFont="1" applyFill="1" applyAlignment="1" applyProtection="1">
      <alignment horizontal="left" vertical="center"/>
      <protection hidden="1"/>
    </xf>
    <xf numFmtId="0" fontId="37" fillId="0" borderId="0" xfId="0" applyFont="1" applyFill="1" applyAlignment="1" applyProtection="1">
      <alignment horizontal="left" vertical="top"/>
      <protection hidden="1"/>
    </xf>
    <xf numFmtId="0" fontId="48" fillId="0" borderId="0" xfId="0" applyFont="1" applyAlignment="1" applyProtection="1">
      <alignment horizontal="left" vertical="center"/>
      <protection hidden="1"/>
    </xf>
    <xf numFmtId="181" fontId="28" fillId="44" borderId="27" xfId="0" applyNumberFormat="1" applyFont="1" applyFill="1" applyBorder="1" applyAlignment="1" applyProtection="1">
      <alignment horizontal="centerContinuous" vertical="center"/>
      <protection hidden="1"/>
    </xf>
    <xf numFmtId="181" fontId="28" fillId="42" borderId="166" xfId="0" applyNumberFormat="1" applyFont="1" applyFill="1" applyBorder="1" applyAlignment="1" applyProtection="1">
      <alignment horizontal="left" vertical="center"/>
      <protection hidden="1"/>
    </xf>
    <xf numFmtId="0" fontId="28" fillId="42" borderId="168" xfId="0" applyFont="1" applyFill="1" applyBorder="1" applyAlignment="1" applyProtection="1">
      <alignment horizontal="left" vertical="center" wrapText="1"/>
      <protection hidden="1"/>
    </xf>
    <xf numFmtId="181" fontId="28" fillId="42" borderId="12" xfId="0" applyNumberFormat="1" applyFont="1" applyFill="1" applyBorder="1" applyAlignment="1" applyProtection="1">
      <alignment horizontal="left" vertical="center"/>
      <protection hidden="1"/>
    </xf>
    <xf numFmtId="0" fontId="28" fillId="42" borderId="14" xfId="0" applyFont="1" applyFill="1" applyBorder="1" applyAlignment="1" applyProtection="1">
      <alignment horizontal="left" vertical="center" wrapText="1"/>
      <protection hidden="1"/>
    </xf>
    <xf numFmtId="0" fontId="29" fillId="0" borderId="0" xfId="0" applyFont="1" applyFill="1" applyAlignment="1" applyProtection="1">
      <alignment horizontal="left" vertical="center"/>
      <protection hidden="1"/>
    </xf>
    <xf numFmtId="0" fontId="28" fillId="27" borderId="52" xfId="0" applyFont="1" applyFill="1" applyBorder="1" applyAlignment="1" applyProtection="1">
      <alignment horizontal="center" vertical="center"/>
      <protection hidden="1"/>
    </xf>
    <xf numFmtId="0" fontId="28" fillId="27" borderId="53" xfId="0" applyFont="1" applyFill="1" applyBorder="1" applyAlignment="1" applyProtection="1">
      <alignment horizontal="center" vertical="top"/>
      <protection hidden="1"/>
    </xf>
    <xf numFmtId="0" fontId="28" fillId="27" borderId="53" xfId="0" applyFont="1" applyFill="1" applyBorder="1" applyAlignment="1" applyProtection="1">
      <alignment horizontal="center" vertical="center"/>
      <protection hidden="1"/>
    </xf>
    <xf numFmtId="0" fontId="28" fillId="27" borderId="167" xfId="0" applyFont="1" applyFill="1" applyBorder="1" applyAlignment="1" applyProtection="1">
      <alignment horizontal="left" vertical="top" wrapText="1"/>
      <protection hidden="1"/>
    </xf>
    <xf numFmtId="0" fontId="28" fillId="27" borderId="13" xfId="0" applyFont="1" applyFill="1" applyBorder="1" applyAlignment="1" applyProtection="1">
      <alignment horizontal="left" vertical="top" wrapText="1"/>
      <protection hidden="1"/>
    </xf>
    <xf numFmtId="0" fontId="28" fillId="27" borderId="191" xfId="0" applyFont="1" applyFill="1" applyBorder="1" applyAlignment="1" applyProtection="1">
      <alignment horizontal="left" vertical="center" wrapText="1"/>
      <protection hidden="1"/>
    </xf>
    <xf numFmtId="0" fontId="28" fillId="27" borderId="76" xfId="0" applyFont="1" applyFill="1" applyBorder="1" applyAlignment="1" applyProtection="1">
      <alignment horizontal="left" vertical="center"/>
      <protection hidden="1"/>
    </xf>
    <xf numFmtId="0" fontId="28" fillId="27" borderId="76"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top" wrapText="1"/>
      <protection hidden="1"/>
    </xf>
    <xf numFmtId="196" fontId="26" fillId="27" borderId="50" xfId="0" applyNumberFormat="1" applyFont="1" applyFill="1" applyBorder="1" applyAlignment="1" applyProtection="1">
      <alignment horizontal="center" vertical="top" wrapText="1"/>
      <protection hidden="1"/>
    </xf>
    <xf numFmtId="0" fontId="157" fillId="0" borderId="0" xfId="0" applyFont="1" applyFill="1" applyAlignment="1" applyProtection="1">
      <alignment vertical="center"/>
      <protection hidden="1"/>
    </xf>
    <xf numFmtId="0" fontId="37" fillId="0" borderId="0" xfId="0" applyFont="1" applyFill="1" applyBorder="1" applyAlignment="1" applyProtection="1">
      <alignment horizontal="justify"/>
      <protection hidden="1"/>
    </xf>
    <xf numFmtId="0" fontId="37" fillId="0" borderId="0" xfId="0" applyFont="1" applyFill="1" applyBorder="1" applyAlignment="1" applyProtection="1">
      <alignment horizontal="left"/>
      <protection hidden="1"/>
    </xf>
    <xf numFmtId="0" fontId="37" fillId="0" borderId="0" xfId="0" applyFont="1" applyFill="1" applyBorder="1" applyAlignment="1" applyProtection="1">
      <alignment horizontal="left" vertical="top"/>
      <protection hidden="1"/>
    </xf>
    <xf numFmtId="0" fontId="34" fillId="0" borderId="0" xfId="0" applyFont="1" applyFill="1" applyAlignment="1" applyProtection="1">
      <alignment horizontal="left" vertical="center"/>
      <protection hidden="1"/>
    </xf>
    <xf numFmtId="0" fontId="28" fillId="27" borderId="192" xfId="0" applyFont="1" applyFill="1" applyBorder="1" applyAlignment="1" applyProtection="1">
      <alignment horizontal="centerContinuous" vertical="center"/>
      <protection hidden="1"/>
    </xf>
    <xf numFmtId="0" fontId="28" fillId="27" borderId="193" xfId="0" applyFont="1" applyFill="1" applyBorder="1" applyAlignment="1">
      <alignment horizontal="centerContinuous" vertical="center"/>
    </xf>
    <xf numFmtId="0" fontId="28" fillId="27" borderId="194" xfId="0" applyFont="1" applyFill="1" applyBorder="1" applyAlignment="1">
      <alignment horizontal="centerContinuous" vertical="top"/>
    </xf>
    <xf numFmtId="0" fontId="28" fillId="27" borderId="195" xfId="0" applyFont="1" applyFill="1" applyBorder="1" applyAlignment="1" applyProtection="1">
      <alignment vertical="center"/>
      <protection hidden="1"/>
    </xf>
    <xf numFmtId="0" fontId="28" fillId="27" borderId="196" xfId="0" applyFont="1" applyFill="1" applyBorder="1" applyAlignment="1">
      <alignment vertical="center"/>
    </xf>
    <xf numFmtId="0" fontId="28" fillId="27" borderId="196" xfId="0" applyFont="1" applyFill="1" applyBorder="1" applyAlignment="1" applyProtection="1">
      <alignment vertical="center"/>
    </xf>
    <xf numFmtId="0" fontId="28" fillId="27" borderId="196" xfId="0" applyFont="1" applyFill="1" applyBorder="1" applyAlignment="1">
      <alignment vertical="top"/>
    </xf>
    <xf numFmtId="0" fontId="28" fillId="27" borderId="197" xfId="0" applyFont="1" applyFill="1" applyBorder="1" applyAlignment="1">
      <alignment vertical="top"/>
    </xf>
    <xf numFmtId="0" fontId="29" fillId="27" borderId="12" xfId="0" applyFont="1" applyFill="1" applyBorder="1" applyAlignment="1" applyProtection="1">
      <alignment vertical="center"/>
      <protection hidden="1"/>
    </xf>
    <xf numFmtId="0" fontId="28" fillId="27" borderId="13" xfId="0" applyFont="1" applyFill="1" applyBorder="1" applyAlignment="1" applyProtection="1">
      <alignment vertical="center"/>
    </xf>
    <xf numFmtId="0" fontId="28" fillId="27" borderId="13" xfId="0" applyFont="1" applyFill="1" applyBorder="1" applyProtection="1">
      <alignment vertical="center"/>
    </xf>
    <xf numFmtId="0" fontId="28" fillId="27" borderId="14" xfId="0" applyFont="1" applyFill="1" applyBorder="1" applyAlignment="1" applyProtection="1">
      <alignment vertical="center"/>
    </xf>
    <xf numFmtId="0" fontId="28" fillId="27" borderId="13" xfId="0" applyFont="1" applyFill="1" applyBorder="1" applyAlignment="1">
      <alignment vertical="top"/>
    </xf>
    <xf numFmtId="0" fontId="28" fillId="27" borderId="14" xfId="0" applyFont="1" applyFill="1" applyBorder="1" applyAlignment="1">
      <alignment vertical="top"/>
    </xf>
    <xf numFmtId="0" fontId="29" fillId="27" borderId="177" xfId="0" applyFont="1" applyFill="1" applyBorder="1" applyAlignment="1" applyProtection="1">
      <alignment vertical="center"/>
      <protection hidden="1"/>
    </xf>
    <xf numFmtId="0" fontId="28" fillId="27" borderId="87" xfId="0" applyFont="1" applyFill="1" applyBorder="1" applyAlignment="1" applyProtection="1">
      <alignment vertical="center"/>
    </xf>
    <xf numFmtId="0" fontId="28" fillId="27" borderId="87" xfId="0" applyFont="1" applyFill="1" applyBorder="1" applyProtection="1">
      <alignment vertical="center"/>
    </xf>
    <xf numFmtId="0" fontId="28" fillId="27" borderId="87" xfId="0" applyFont="1" applyFill="1" applyBorder="1" applyAlignment="1">
      <alignment vertical="center"/>
    </xf>
    <xf numFmtId="0" fontId="28" fillId="27" borderId="87" xfId="0" applyFont="1" applyFill="1" applyBorder="1" applyAlignment="1">
      <alignment vertical="top"/>
    </xf>
    <xf numFmtId="0" fontId="28" fillId="27" borderId="177" xfId="0" applyFont="1" applyFill="1" applyBorder="1" applyAlignment="1" applyProtection="1">
      <alignment vertical="center"/>
      <protection hidden="1"/>
    </xf>
    <xf numFmtId="0" fontId="28" fillId="27" borderId="171" xfId="0" applyFont="1" applyFill="1" applyBorder="1" applyAlignment="1" applyProtection="1">
      <alignment vertical="center"/>
      <protection hidden="1"/>
    </xf>
    <xf numFmtId="0" fontId="28" fillId="27" borderId="173" xfId="0" applyFont="1" applyFill="1" applyBorder="1" applyAlignment="1">
      <alignment vertical="center"/>
    </xf>
    <xf numFmtId="0" fontId="28" fillId="27" borderId="173" xfId="0" applyFont="1" applyFill="1" applyBorder="1" applyProtection="1">
      <alignment vertical="center"/>
    </xf>
    <xf numFmtId="0" fontId="28" fillId="27" borderId="173" xfId="0" applyFont="1" applyFill="1" applyBorder="1" applyAlignment="1">
      <alignment vertical="top"/>
    </xf>
    <xf numFmtId="0" fontId="28" fillId="27" borderId="172" xfId="0" applyFont="1" applyFill="1" applyBorder="1" applyAlignment="1">
      <alignment vertical="top"/>
    </xf>
    <xf numFmtId="0" fontId="28" fillId="0" borderId="0" xfId="0" applyFont="1">
      <alignment vertical="center"/>
    </xf>
    <xf numFmtId="0" fontId="37" fillId="0" borderId="0" xfId="0" applyFont="1">
      <alignment vertical="center"/>
    </xf>
    <xf numFmtId="0" fontId="37" fillId="0" borderId="0" xfId="0" applyFont="1" applyFill="1" applyBorder="1" applyAlignment="1" applyProtection="1">
      <alignment vertical="center"/>
      <protection hidden="1"/>
    </xf>
    <xf numFmtId="0" fontId="27" fillId="0" borderId="0" xfId="0" applyFont="1" applyFill="1" applyAlignment="1" applyProtection="1">
      <alignment horizontal="left" vertical="center"/>
      <protection hidden="1"/>
    </xf>
    <xf numFmtId="0" fontId="48" fillId="0" borderId="0" xfId="0" applyFont="1" applyFill="1" applyAlignment="1" applyProtection="1">
      <alignment horizontal="left" vertical="top"/>
      <protection hidden="1"/>
    </xf>
    <xf numFmtId="181" fontId="28" fillId="27" borderId="192" xfId="0" applyNumberFormat="1" applyFont="1" applyFill="1" applyBorder="1" applyAlignment="1" applyProtection="1">
      <alignment horizontal="left" vertical="center"/>
      <protection hidden="1"/>
    </xf>
    <xf numFmtId="181" fontId="28" fillId="27" borderId="193" xfId="0" applyNumberFormat="1" applyFont="1" applyFill="1" applyBorder="1" applyAlignment="1" applyProtection="1">
      <alignment horizontal="left" vertical="center"/>
      <protection hidden="1"/>
    </xf>
    <xf numFmtId="181" fontId="28" fillId="27" borderId="194" xfId="0" applyNumberFormat="1" applyFont="1" applyFill="1" applyBorder="1" applyAlignment="1" applyProtection="1">
      <alignment horizontal="left" vertical="center"/>
      <protection hidden="1"/>
    </xf>
    <xf numFmtId="181" fontId="28" fillId="27" borderId="198" xfId="0" applyNumberFormat="1" applyFont="1" applyFill="1" applyBorder="1" applyAlignment="1" applyProtection="1">
      <alignment horizontal="left" vertical="center"/>
      <protection hidden="1"/>
    </xf>
    <xf numFmtId="0" fontId="158" fillId="0" borderId="0" xfId="0" applyFont="1" applyFill="1" applyAlignment="1" applyProtection="1">
      <alignment horizontal="left" vertical="center"/>
      <protection hidden="1"/>
    </xf>
    <xf numFmtId="181" fontId="37" fillId="0" borderId="0" xfId="0" applyNumberFormat="1" applyFont="1" applyFill="1" applyBorder="1" applyAlignment="1" applyProtection="1">
      <alignment horizontal="left" vertical="top"/>
      <protection hidden="1"/>
    </xf>
    <xf numFmtId="0" fontId="151" fillId="0" borderId="0" xfId="0" applyFont="1" applyProtection="1">
      <alignment vertical="center"/>
    </xf>
    <xf numFmtId="0" fontId="28" fillId="0" borderId="0" xfId="0" applyFont="1" applyFill="1" applyBorder="1" applyAlignment="1" applyProtection="1">
      <alignment horizontal="right"/>
      <protection hidden="1"/>
    </xf>
    <xf numFmtId="0" fontId="26" fillId="0" borderId="146" xfId="0" applyNumberFormat="1" applyFont="1" applyFill="1" applyBorder="1" applyAlignment="1" applyProtection="1">
      <alignment horizontal="center" vertical="center"/>
      <protection hidden="1"/>
    </xf>
    <xf numFmtId="0" fontId="28" fillId="27" borderId="27" xfId="0" applyFont="1" applyFill="1" applyBorder="1" applyAlignment="1" applyProtection="1">
      <alignment vertical="center"/>
    </xf>
    <xf numFmtId="0" fontId="26" fillId="0" borderId="0" xfId="0" applyFont="1" applyFill="1" applyBorder="1" applyAlignment="1" applyProtection="1">
      <alignment vertical="center"/>
      <protection hidden="1"/>
    </xf>
    <xf numFmtId="0" fontId="28" fillId="0" borderId="0" xfId="0" applyFont="1" applyAlignment="1" applyProtection="1">
      <alignment vertical="top"/>
    </xf>
    <xf numFmtId="0" fontId="28" fillId="0" borderId="17" xfId="0" applyFont="1" applyFill="1" applyBorder="1" applyAlignment="1" applyProtection="1">
      <protection hidden="1"/>
    </xf>
    <xf numFmtId="0" fontId="28" fillId="27" borderId="54" xfId="0" applyFont="1" applyFill="1" applyBorder="1" applyAlignment="1" applyProtection="1">
      <alignment horizontal="center" vertical="center"/>
      <protection hidden="1"/>
    </xf>
    <xf numFmtId="0" fontId="28" fillId="27" borderId="0"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top"/>
      <protection hidden="1"/>
    </xf>
    <xf numFmtId="0" fontId="37" fillId="0" borderId="17" xfId="0" applyFont="1" applyFill="1" applyBorder="1" applyAlignment="1" applyProtection="1">
      <alignment vertical="center"/>
      <protection hidden="1"/>
    </xf>
    <xf numFmtId="0" fontId="28" fillId="27" borderId="58"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7"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top"/>
      <protection hidden="1"/>
    </xf>
    <xf numFmtId="0" fontId="28" fillId="0" borderId="17" xfId="0" applyFont="1" applyFill="1" applyBorder="1" applyAlignment="1" applyProtection="1">
      <alignment vertical="center"/>
      <protection hidden="1"/>
    </xf>
    <xf numFmtId="0" fontId="28" fillId="27" borderId="16" xfId="0" applyFont="1" applyFill="1" applyBorder="1" applyAlignment="1" applyProtection="1">
      <alignment horizontal="center" vertical="center"/>
      <protection locked="0" hidden="1"/>
    </xf>
    <xf numFmtId="0" fontId="37" fillId="27" borderId="166"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center"/>
      <protection hidden="1"/>
    </xf>
    <xf numFmtId="0" fontId="37" fillId="27" borderId="167"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top"/>
      <protection hidden="1"/>
    </xf>
    <xf numFmtId="0" fontId="28" fillId="0" borderId="17" xfId="0" applyFont="1" applyFill="1" applyBorder="1" applyAlignment="1" applyProtection="1">
      <alignment horizontal="left" vertical="center"/>
      <protection hidden="1"/>
    </xf>
    <xf numFmtId="0" fontId="28" fillId="27" borderId="11" xfId="0" applyFont="1" applyFill="1" applyBorder="1" applyAlignment="1" applyProtection="1">
      <alignment horizontal="center" vertical="center"/>
      <protection locked="0" hidden="1"/>
    </xf>
    <xf numFmtId="0" fontId="37" fillId="27" borderId="12"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top"/>
      <protection hidden="1"/>
    </xf>
    <xf numFmtId="0" fontId="37" fillId="27" borderId="1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top"/>
      <protection hidden="1"/>
    </xf>
    <xf numFmtId="0" fontId="26" fillId="0" borderId="17" xfId="0" applyFont="1" applyFill="1" applyBorder="1" applyAlignment="1" applyProtection="1">
      <alignment horizontal="center" vertical="top"/>
      <protection hidden="1"/>
    </xf>
    <xf numFmtId="0" fontId="26" fillId="0" borderId="0" xfId="0" applyFont="1" applyFill="1" applyBorder="1" applyAlignment="1" applyProtection="1">
      <alignment horizontal="center" vertical="top"/>
      <protection hidden="1"/>
    </xf>
    <xf numFmtId="0" fontId="28" fillId="27" borderId="170" xfId="0" applyFont="1" applyFill="1" applyBorder="1" applyAlignment="1" applyProtection="1">
      <alignment horizontal="center" vertical="center"/>
      <protection locked="0" hidden="1"/>
    </xf>
    <xf numFmtId="0" fontId="37" fillId="27" borderId="171"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center"/>
      <protection hidden="1"/>
    </xf>
    <xf numFmtId="0" fontId="37" fillId="27" borderId="173"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center"/>
      <protection hidden="1"/>
    </xf>
    <xf numFmtId="0" fontId="28" fillId="0" borderId="17"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7" fillId="27" borderId="177" xfId="0" applyFont="1" applyFill="1" applyBorder="1" applyAlignment="1" applyProtection="1">
      <alignment horizontal="left" vertical="center"/>
      <protection hidden="1"/>
    </xf>
    <xf numFmtId="0" fontId="37" fillId="27" borderId="198" xfId="0" applyFont="1" applyFill="1" applyBorder="1" applyAlignment="1" applyProtection="1">
      <alignment horizontal="left" vertical="center"/>
      <protection hidden="1"/>
    </xf>
    <xf numFmtId="0" fontId="37" fillId="27" borderId="87" xfId="0" applyFont="1" applyFill="1" applyBorder="1" applyAlignment="1" applyProtection="1">
      <alignment horizontal="left" vertical="center"/>
      <protection hidden="1"/>
    </xf>
    <xf numFmtId="0" fontId="37" fillId="27" borderId="183" xfId="0" applyFont="1" applyFill="1" applyBorder="1" applyAlignment="1" applyProtection="1">
      <alignment horizontal="left" vertical="center"/>
      <protection hidden="1"/>
    </xf>
    <xf numFmtId="0" fontId="37" fillId="27" borderId="184" xfId="0" applyFont="1" applyFill="1" applyBorder="1" applyAlignment="1" applyProtection="1">
      <alignment horizontal="left" vertical="center"/>
      <protection hidden="1"/>
    </xf>
    <xf numFmtId="0" fontId="28" fillId="27" borderId="55" xfId="0" applyFont="1" applyFill="1" applyBorder="1" applyAlignment="1" applyProtection="1">
      <alignment horizontal="center" vertical="center"/>
      <protection locked="0" hidden="1"/>
    </xf>
    <xf numFmtId="0" fontId="37" fillId="27" borderId="56" xfId="0" applyFont="1" applyFill="1" applyBorder="1" applyAlignment="1" applyProtection="1">
      <alignment horizontal="left" vertical="center"/>
      <protection hidden="1"/>
    </xf>
    <xf numFmtId="0" fontId="37" fillId="27" borderId="58" xfId="0" applyFont="1" applyFill="1" applyBorder="1" applyAlignment="1" applyProtection="1">
      <alignment horizontal="left" vertical="center"/>
      <protection hidden="1"/>
    </xf>
    <xf numFmtId="0" fontId="28" fillId="0" borderId="53" xfId="0" applyFont="1" applyBorder="1" applyProtection="1">
      <alignment vertical="center"/>
    </xf>
    <xf numFmtId="0" fontId="28" fillId="0" borderId="53" xfId="0" applyFont="1" applyBorder="1" applyAlignment="1" applyProtection="1">
      <alignment vertical="top"/>
    </xf>
    <xf numFmtId="181" fontId="28" fillId="31" borderId="80" xfId="0" applyNumberFormat="1" applyFont="1" applyFill="1" applyBorder="1" applyAlignment="1" applyProtection="1">
      <alignment horizontal="centerContinuous" vertical="top"/>
      <protection hidden="1"/>
    </xf>
    <xf numFmtId="0" fontId="0" fillId="43" borderId="10" xfId="0" applyFill="1" applyBorder="1">
      <alignment vertical="center"/>
    </xf>
    <xf numFmtId="0" fontId="26"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top"/>
      <protection hidden="1"/>
    </xf>
    <xf numFmtId="0" fontId="28" fillId="27" borderId="26" xfId="0" applyFont="1" applyFill="1" applyBorder="1" applyAlignment="1" applyProtection="1">
      <alignment horizontal="left"/>
      <protection hidden="1"/>
    </xf>
    <xf numFmtId="0" fontId="28" fillId="27" borderId="50" xfId="0" applyFont="1" applyFill="1" applyBorder="1" applyAlignment="1" applyProtection="1">
      <alignment horizontal="left"/>
      <protection hidden="1"/>
    </xf>
    <xf numFmtId="0" fontId="28" fillId="27" borderId="27" xfId="0" applyFont="1" applyFill="1" applyBorder="1" applyAlignment="1" applyProtection="1">
      <alignment horizontal="left"/>
      <protection hidden="1"/>
    </xf>
    <xf numFmtId="0" fontId="28" fillId="27" borderId="26" xfId="0" applyFont="1" applyFill="1" applyBorder="1" applyAlignment="1" applyProtection="1">
      <protection hidden="1"/>
    </xf>
    <xf numFmtId="0" fontId="28" fillId="27" borderId="50" xfId="0" applyFont="1" applyFill="1" applyBorder="1" applyAlignment="1" applyProtection="1">
      <protection hidden="1"/>
    </xf>
    <xf numFmtId="0" fontId="28" fillId="27" borderId="50" xfId="0" applyFont="1" applyFill="1" applyBorder="1" applyAlignment="1" applyProtection="1">
      <alignment vertical="top"/>
      <protection hidden="1"/>
    </xf>
    <xf numFmtId="0" fontId="28" fillId="27" borderId="27" xfId="0" applyFont="1" applyFill="1" applyBorder="1" applyAlignment="1" applyProtection="1">
      <protection hidden="1"/>
    </xf>
    <xf numFmtId="0" fontId="37" fillId="27" borderId="26" xfId="0" applyFont="1" applyFill="1" applyBorder="1" applyAlignment="1" applyProtection="1">
      <alignment horizontal="left"/>
      <protection hidden="1"/>
    </xf>
    <xf numFmtId="0" fontId="37" fillId="27" borderId="50" xfId="0" applyFont="1" applyFill="1" applyBorder="1" applyAlignment="1" applyProtection="1">
      <alignment horizontal="left"/>
      <protection hidden="1"/>
    </xf>
    <xf numFmtId="0" fontId="37" fillId="27" borderId="50" xfId="0" applyFont="1" applyFill="1" applyBorder="1" applyAlignment="1" applyProtection="1">
      <alignment horizontal="left" vertical="top"/>
      <protection hidden="1"/>
    </xf>
    <xf numFmtId="0" fontId="37" fillId="27" borderId="27" xfId="0" applyFont="1" applyFill="1" applyBorder="1" applyAlignment="1" applyProtection="1">
      <alignment horizontal="left"/>
      <protection hidden="1"/>
    </xf>
    <xf numFmtId="0" fontId="28" fillId="27" borderId="15" xfId="0" applyFont="1" applyFill="1" applyBorder="1" applyAlignment="1" applyProtection="1">
      <alignment vertical="center"/>
      <protection hidden="1"/>
    </xf>
    <xf numFmtId="0" fontId="28" fillId="27" borderId="50" xfId="0" applyFont="1" applyFill="1" applyBorder="1" applyAlignment="1" applyProtection="1">
      <alignment horizontal="left" vertical="top"/>
      <protection hidden="1"/>
    </xf>
    <xf numFmtId="0" fontId="28" fillId="27" borderId="10" xfId="0" applyFont="1" applyFill="1" applyBorder="1" applyAlignment="1" applyProtection="1">
      <protection hidden="1"/>
    </xf>
    <xf numFmtId="181" fontId="26" fillId="0" borderId="0" xfId="0" applyNumberFormat="1" applyFont="1" applyFill="1" applyBorder="1" applyAlignment="1" applyProtection="1">
      <alignment horizontal="left" vertical="center"/>
      <protection hidden="1"/>
    </xf>
    <xf numFmtId="181" fontId="28" fillId="0" borderId="0" xfId="0" applyNumberFormat="1" applyFont="1" applyFill="1" applyBorder="1" applyAlignment="1" applyProtection="1">
      <alignment vertical="top"/>
      <protection hidden="1"/>
    </xf>
    <xf numFmtId="181" fontId="28" fillId="27" borderId="26" xfId="0" applyNumberFormat="1" applyFont="1" applyFill="1" applyBorder="1" applyAlignment="1" applyProtection="1">
      <alignment horizontal="left" vertical="center"/>
      <protection hidden="1"/>
    </xf>
    <xf numFmtId="181" fontId="28" fillId="27" borderId="50" xfId="0" applyNumberFormat="1" applyFont="1" applyFill="1" applyBorder="1" applyAlignment="1" applyProtection="1">
      <alignment horizontal="left" vertical="center"/>
      <protection hidden="1"/>
    </xf>
    <xf numFmtId="181" fontId="28" fillId="27" borderId="27" xfId="0" applyNumberFormat="1" applyFont="1" applyFill="1" applyBorder="1" applyAlignment="1" applyProtection="1">
      <alignment horizontal="left" vertical="center"/>
      <protection hidden="1"/>
    </xf>
    <xf numFmtId="181" fontId="28" fillId="27" borderId="26" xfId="0" applyNumberFormat="1" applyFont="1" applyFill="1" applyBorder="1" applyAlignment="1" applyProtection="1">
      <alignment vertical="center"/>
      <protection hidden="1"/>
    </xf>
    <xf numFmtId="181" fontId="28" fillId="27" borderId="26" xfId="0" applyNumberFormat="1" applyFont="1" applyFill="1" applyBorder="1" applyAlignment="1" applyProtection="1">
      <alignment horizontal="center" vertical="center"/>
      <protection hidden="1"/>
    </xf>
    <xf numFmtId="181" fontId="28" fillId="27" borderId="27" xfId="0" applyNumberFormat="1" applyFont="1" applyFill="1" applyBorder="1" applyAlignment="1" applyProtection="1">
      <alignment horizontal="center" vertical="center"/>
      <protection hidden="1"/>
    </xf>
    <xf numFmtId="181" fontId="28" fillId="27" borderId="10" xfId="0" applyNumberFormat="1" applyFont="1" applyFill="1" applyBorder="1" applyAlignment="1" applyProtection="1">
      <alignment vertical="top"/>
      <protection hidden="1"/>
    </xf>
    <xf numFmtId="181" fontId="28" fillId="27" borderId="10"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center"/>
      <protection hidden="1"/>
    </xf>
    <xf numFmtId="181" fontId="28" fillId="27" borderId="53" xfId="0" applyNumberFormat="1" applyFont="1" applyFill="1" applyBorder="1" applyAlignment="1" applyProtection="1">
      <alignment horizontal="left" vertical="center"/>
      <protection hidden="1"/>
    </xf>
    <xf numFmtId="181" fontId="28" fillId="27" borderId="54" xfId="0" applyNumberFormat="1" applyFont="1" applyFill="1" applyBorder="1" applyAlignment="1" applyProtection="1">
      <alignment horizontal="left" vertical="center"/>
      <protection hidden="1"/>
    </xf>
    <xf numFmtId="0" fontId="28" fillId="27" borderId="10" xfId="0" applyNumberFormat="1" applyFont="1" applyFill="1" applyBorder="1" applyAlignment="1" applyProtection="1">
      <alignment vertical="top"/>
      <protection hidden="1"/>
    </xf>
    <xf numFmtId="3" fontId="28" fillId="27" borderId="27" xfId="0" applyNumberFormat="1" applyFont="1" applyFill="1" applyBorder="1" applyAlignment="1" applyProtection="1">
      <alignment horizontal="right" vertical="top"/>
      <protection hidden="1"/>
    </xf>
    <xf numFmtId="181" fontId="28" fillId="27" borderId="56" xfId="0" applyNumberFormat="1" applyFont="1" applyFill="1" applyBorder="1" applyAlignment="1" applyProtection="1">
      <alignment horizontal="left" vertical="center"/>
      <protection hidden="1"/>
    </xf>
    <xf numFmtId="181" fontId="28" fillId="27" borderId="57" xfId="0" applyNumberFormat="1" applyFont="1" applyFill="1" applyBorder="1" applyAlignment="1" applyProtection="1">
      <alignment horizontal="left" vertical="center"/>
      <protection hidden="1"/>
    </xf>
    <xf numFmtId="181" fontId="28" fillId="27" borderId="58" xfId="0" applyNumberFormat="1" applyFont="1" applyFill="1" applyBorder="1" applyAlignment="1" applyProtection="1">
      <alignment horizontal="left" vertical="center"/>
      <protection hidden="1"/>
    </xf>
    <xf numFmtId="0" fontId="28" fillId="27" borderId="27"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top"/>
      <protection hidden="1"/>
    </xf>
    <xf numFmtId="181" fontId="28" fillId="27" borderId="53" xfId="0" applyNumberFormat="1" applyFont="1" applyFill="1" applyBorder="1" applyAlignment="1" applyProtection="1">
      <alignment horizontal="left" vertical="top"/>
      <protection hidden="1"/>
    </xf>
    <xf numFmtId="181" fontId="28" fillId="27" borderId="54" xfId="0" applyNumberFormat="1" applyFont="1" applyFill="1" applyBorder="1" applyAlignment="1" applyProtection="1">
      <alignment horizontal="left" vertical="top"/>
      <protection hidden="1"/>
    </xf>
    <xf numFmtId="3" fontId="28" fillId="27" borderId="27" xfId="0" applyNumberFormat="1" applyFont="1" applyFill="1" applyBorder="1" applyAlignment="1" applyProtection="1">
      <alignment vertical="center"/>
      <protection hidden="1"/>
    </xf>
    <xf numFmtId="181" fontId="28" fillId="27" borderId="64" xfId="0" applyNumberFormat="1" applyFont="1" applyFill="1" applyBorder="1" applyAlignment="1" applyProtection="1">
      <alignment horizontal="left" vertical="top"/>
      <protection hidden="1"/>
    </xf>
    <xf numFmtId="181" fontId="28" fillId="27" borderId="0" xfId="0" applyNumberFormat="1" applyFont="1" applyFill="1" applyBorder="1" applyAlignment="1" applyProtection="1">
      <alignment horizontal="left" vertical="top"/>
      <protection hidden="1"/>
    </xf>
    <xf numFmtId="181" fontId="28" fillId="27" borderId="17" xfId="0" applyNumberFormat="1" applyFont="1" applyFill="1" applyBorder="1" applyAlignment="1" applyProtection="1">
      <alignment horizontal="left" vertical="top"/>
      <protection hidden="1"/>
    </xf>
    <xf numFmtId="181" fontId="28" fillId="27" borderId="56" xfId="0" applyNumberFormat="1" applyFont="1" applyFill="1" applyBorder="1" applyAlignment="1" applyProtection="1">
      <alignment horizontal="left" vertical="top"/>
      <protection hidden="1"/>
    </xf>
    <xf numFmtId="181" fontId="28" fillId="27" borderId="57" xfId="0" applyNumberFormat="1" applyFont="1" applyFill="1" applyBorder="1" applyAlignment="1" applyProtection="1">
      <alignment horizontal="left" vertical="top"/>
      <protection hidden="1"/>
    </xf>
    <xf numFmtId="181" fontId="28" fillId="27" borderId="58" xfId="0" applyNumberFormat="1" applyFont="1" applyFill="1" applyBorder="1" applyAlignment="1" applyProtection="1">
      <alignment horizontal="left" vertical="top"/>
      <protection hidden="1"/>
    </xf>
    <xf numFmtId="181" fontId="28" fillId="27" borderId="64" xfId="0" applyNumberFormat="1" applyFont="1" applyFill="1" applyBorder="1" applyAlignment="1" applyProtection="1">
      <alignment horizontal="left" vertical="center"/>
      <protection hidden="1"/>
    </xf>
    <xf numFmtId="181" fontId="28" fillId="27" borderId="0" xfId="0" applyNumberFormat="1" applyFont="1" applyFill="1" applyBorder="1" applyAlignment="1" applyProtection="1">
      <alignment horizontal="left" vertical="center"/>
      <protection hidden="1"/>
    </xf>
    <xf numFmtId="181" fontId="28" fillId="27" borderId="17" xfId="0" applyNumberFormat="1" applyFont="1" applyFill="1" applyBorder="1" applyAlignment="1" applyProtection="1">
      <alignment horizontal="left" vertical="center"/>
      <protection hidden="1"/>
    </xf>
    <xf numFmtId="181" fontId="26" fillId="0" borderId="0" xfId="0" applyNumberFormat="1" applyFont="1" applyFill="1" applyBorder="1" applyAlignment="1" applyProtection="1">
      <alignment vertical="center"/>
    </xf>
    <xf numFmtId="181" fontId="28" fillId="0" borderId="0" xfId="0" applyNumberFormat="1" applyFont="1" applyFill="1" applyBorder="1" applyAlignment="1" applyProtection="1">
      <alignment vertical="center"/>
    </xf>
    <xf numFmtId="181" fontId="37" fillId="0" borderId="0" xfId="0" applyNumberFormat="1" applyFont="1" applyFill="1" applyBorder="1" applyAlignment="1" applyProtection="1">
      <alignment horizontal="left" vertical="top"/>
    </xf>
    <xf numFmtId="0" fontId="28" fillId="27" borderId="52" xfId="0" applyFont="1" applyFill="1" applyBorder="1">
      <alignment vertical="center"/>
    </xf>
    <xf numFmtId="0" fontId="28" fillId="27" borderId="51" xfId="0" applyFont="1" applyFill="1" applyBorder="1" applyAlignment="1">
      <alignment horizontal="center" vertical="center"/>
    </xf>
    <xf numFmtId="0" fontId="28" fillId="27" borderId="51" xfId="0" applyFont="1" applyFill="1" applyBorder="1">
      <alignment vertical="center"/>
    </xf>
    <xf numFmtId="0" fontId="28" fillId="27" borderId="10" xfId="0" applyFont="1" applyFill="1" applyBorder="1" applyAlignment="1">
      <alignment horizontal="center" vertical="center"/>
    </xf>
    <xf numFmtId="38" fontId="28" fillId="27" borderId="51" xfId="35" applyFont="1" applyFill="1" applyBorder="1">
      <alignment vertical="center"/>
    </xf>
    <xf numFmtId="0" fontId="28" fillId="27" borderId="54" xfId="0" applyFont="1" applyFill="1" applyBorder="1">
      <alignment vertical="center"/>
    </xf>
    <xf numFmtId="0" fontId="28" fillId="27" borderId="15" xfId="0" applyFont="1" applyFill="1" applyBorder="1">
      <alignment vertical="center"/>
    </xf>
    <xf numFmtId="38" fontId="28" fillId="27" borderId="15" xfId="35" applyFont="1" applyFill="1" applyBorder="1">
      <alignment vertical="center"/>
    </xf>
    <xf numFmtId="0" fontId="28" fillId="27" borderId="17" xfId="0" applyFont="1" applyFill="1" applyBorder="1">
      <alignment vertical="center"/>
    </xf>
    <xf numFmtId="0" fontId="28" fillId="27" borderId="56" xfId="0" applyFont="1" applyFill="1" applyBorder="1">
      <alignment vertical="center"/>
    </xf>
    <xf numFmtId="0" fontId="28" fillId="27" borderId="55" xfId="0" applyFont="1" applyFill="1" applyBorder="1">
      <alignment vertical="center"/>
    </xf>
    <xf numFmtId="38" fontId="28" fillId="27" borderId="55" xfId="35" applyFont="1" applyFill="1" applyBorder="1">
      <alignment vertical="center"/>
    </xf>
    <xf numFmtId="0" fontId="28" fillId="27" borderId="58" xfId="0" applyFont="1" applyFill="1" applyBorder="1">
      <alignment vertical="center"/>
    </xf>
    <xf numFmtId="0" fontId="33" fillId="0" borderId="57" xfId="0" applyFont="1" applyFill="1" applyBorder="1" applyAlignment="1" applyProtection="1">
      <alignment horizontal="right" vertical="center"/>
    </xf>
    <xf numFmtId="0" fontId="48" fillId="0" borderId="0" xfId="0" applyFont="1" applyFill="1" applyAlignment="1" applyProtection="1">
      <alignment horizontal="right" vertical="center"/>
    </xf>
    <xf numFmtId="176" fontId="28" fillId="27" borderId="12" xfId="0" applyNumberFormat="1" applyFont="1" applyFill="1" applyBorder="1" applyAlignment="1" applyProtection="1">
      <alignment horizontal="left" vertical="center"/>
      <protection hidden="1"/>
    </xf>
    <xf numFmtId="176" fontId="28" fillId="27" borderId="171" xfId="0" applyNumberFormat="1" applyFont="1" applyFill="1" applyBorder="1" applyAlignment="1" applyProtection="1">
      <alignment horizontal="left" vertical="center"/>
      <protection hidden="1"/>
    </xf>
    <xf numFmtId="0" fontId="125" fillId="0" borderId="0" xfId="0" applyFont="1" applyFill="1" applyProtection="1">
      <alignment vertical="center"/>
    </xf>
    <xf numFmtId="0" fontId="28" fillId="0" borderId="0" xfId="0" applyFont="1" applyFill="1" applyBorder="1" applyAlignment="1" applyProtection="1">
      <alignment vertical="center"/>
    </xf>
    <xf numFmtId="0" fontId="28" fillId="0" borderId="0" xfId="0" applyFont="1" applyAlignment="1" applyProtection="1">
      <protection hidden="1"/>
    </xf>
    <xf numFmtId="0" fontId="28" fillId="31" borderId="10" xfId="0" applyFont="1" applyFill="1" applyBorder="1" applyAlignment="1" applyProtection="1">
      <alignment horizontal="center" vertical="center"/>
    </xf>
    <xf numFmtId="0" fontId="33" fillId="31" borderId="26" xfId="44" applyFont="1" applyFill="1" applyBorder="1" applyAlignment="1" applyProtection="1">
      <alignment horizontal="center" vertical="center"/>
      <protection hidden="1"/>
    </xf>
    <xf numFmtId="0" fontId="37" fillId="31" borderId="10" xfId="44" applyFont="1" applyFill="1" applyBorder="1" applyAlignment="1" applyProtection="1">
      <alignment horizontal="center" vertical="center"/>
      <protection hidden="1"/>
    </xf>
    <xf numFmtId="0" fontId="33" fillId="31" borderId="10" xfId="44" applyFont="1" applyFill="1" applyBorder="1" applyAlignment="1" applyProtection="1">
      <alignment horizontal="center" vertical="center"/>
      <protection hidden="1"/>
    </xf>
    <xf numFmtId="0" fontId="26" fillId="0" borderId="0" xfId="0" applyFont="1" applyFill="1" applyAlignment="1" applyProtection="1">
      <alignment horizontal="right" vertical="center"/>
    </xf>
    <xf numFmtId="0" fontId="28" fillId="31" borderId="10" xfId="0" applyFont="1" applyFill="1" applyBorder="1" applyProtection="1">
      <alignment vertical="center"/>
    </xf>
    <xf numFmtId="178" fontId="28" fillId="27" borderId="10" xfId="0" applyNumberFormat="1" applyFont="1" applyFill="1" applyBorder="1" applyProtection="1">
      <alignment vertical="center"/>
    </xf>
    <xf numFmtId="178" fontId="28" fillId="27" borderId="26" xfId="0" applyNumberFormat="1" applyFont="1" applyFill="1" applyBorder="1" applyProtection="1">
      <alignment vertical="center"/>
    </xf>
    <xf numFmtId="9" fontId="28" fillId="27" borderId="10" xfId="0" applyNumberFormat="1" applyFont="1" applyFill="1" applyBorder="1" applyAlignment="1" applyProtection="1">
      <alignment vertical="center"/>
    </xf>
    <xf numFmtId="177" fontId="125" fillId="27" borderId="146" xfId="0" applyNumberFormat="1" applyFont="1" applyFill="1" applyBorder="1" applyAlignment="1" applyProtection="1">
      <alignment vertical="center"/>
    </xf>
    <xf numFmtId="9" fontId="26" fillId="27" borderId="10" xfId="28" applyFont="1" applyFill="1" applyBorder="1" applyAlignment="1" applyProtection="1">
      <alignment vertical="center"/>
    </xf>
    <xf numFmtId="0" fontId="45" fillId="0" borderId="0" xfId="0" applyFont="1" applyFill="1" applyAlignment="1" applyProtection="1">
      <alignment horizontal="left" vertical="center"/>
    </xf>
    <xf numFmtId="0" fontId="45" fillId="0" borderId="0" xfId="0" applyFont="1" applyAlignment="1">
      <alignment horizontal="left" vertical="center"/>
    </xf>
    <xf numFmtId="0" fontId="66" fillId="0" borderId="53" xfId="0" applyFont="1" applyBorder="1" applyAlignment="1" applyProtection="1">
      <alignment vertical="top" wrapText="1"/>
    </xf>
    <xf numFmtId="0" fontId="66" fillId="0" borderId="0" xfId="0" applyFont="1" applyBorder="1" applyAlignment="1" applyProtection="1">
      <alignment vertical="top" wrapText="1"/>
    </xf>
    <xf numFmtId="176" fontId="28" fillId="0" borderId="0"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176" fontId="37" fillId="0" borderId="0" xfId="0" applyNumberFormat="1" applyFont="1" applyFill="1" applyBorder="1" applyAlignment="1" applyProtection="1">
      <alignment horizontal="left" vertical="top"/>
      <protection hidden="1"/>
    </xf>
    <xf numFmtId="0" fontId="28" fillId="27" borderId="87" xfId="0" applyFont="1" applyFill="1" applyBorder="1" applyAlignment="1">
      <alignment horizontal="left" vertical="center" wrapText="1"/>
    </xf>
    <xf numFmtId="0" fontId="6" fillId="43" borderId="0" xfId="0" applyFont="1" applyFill="1">
      <alignment vertical="center"/>
    </xf>
    <xf numFmtId="0" fontId="28" fillId="42" borderId="167" xfId="0" applyFont="1" applyFill="1" applyBorder="1" applyAlignment="1" applyProtection="1">
      <alignment horizontal="left" vertical="center" wrapText="1"/>
      <protection hidden="1"/>
    </xf>
    <xf numFmtId="181" fontId="28" fillId="42" borderId="167" xfId="0" applyNumberFormat="1" applyFont="1" applyFill="1" applyBorder="1" applyAlignment="1" applyProtection="1">
      <alignment horizontal="left" vertical="center"/>
      <protection hidden="1"/>
    </xf>
    <xf numFmtId="181" fontId="28" fillId="42" borderId="168" xfId="0" applyNumberFormat="1" applyFont="1" applyFill="1" applyBorder="1" applyAlignment="1" applyProtection="1">
      <alignment horizontal="left" vertical="center"/>
      <protection hidden="1"/>
    </xf>
    <xf numFmtId="176" fontId="28" fillId="42" borderId="13" xfId="0" applyNumberFormat="1" applyFont="1" applyFill="1" applyBorder="1" applyAlignment="1" applyProtection="1">
      <alignment horizontal="left" vertical="center" wrapText="1"/>
      <protection hidden="1"/>
    </xf>
    <xf numFmtId="0" fontId="28" fillId="42" borderId="13" xfId="0" applyFont="1" applyFill="1" applyBorder="1" applyAlignment="1" applyProtection="1">
      <alignment horizontal="left" vertical="center" wrapText="1"/>
      <protection hidden="1"/>
    </xf>
    <xf numFmtId="181" fontId="28" fillId="42" borderId="13" xfId="0" applyNumberFormat="1" applyFont="1" applyFill="1" applyBorder="1" applyAlignment="1" applyProtection="1">
      <alignment horizontal="left" vertical="center"/>
      <protection hidden="1"/>
    </xf>
    <xf numFmtId="181" fontId="28" fillId="42" borderId="14" xfId="0" applyNumberFormat="1" applyFont="1" applyFill="1" applyBorder="1" applyAlignment="1" applyProtection="1">
      <alignment horizontal="left" vertical="center"/>
      <protection hidden="1"/>
    </xf>
    <xf numFmtId="181" fontId="28" fillId="42" borderId="171" xfId="0" applyNumberFormat="1" applyFont="1" applyFill="1" applyBorder="1" applyAlignment="1" applyProtection="1">
      <alignment horizontal="left" vertical="center"/>
      <protection hidden="1"/>
    </xf>
    <xf numFmtId="176" fontId="28" fillId="42" borderId="173" xfId="0" applyNumberFormat="1" applyFont="1" applyFill="1" applyBorder="1" applyAlignment="1" applyProtection="1">
      <alignment horizontal="left" vertical="center" wrapText="1"/>
      <protection hidden="1"/>
    </xf>
    <xf numFmtId="0" fontId="28" fillId="42" borderId="173" xfId="0" applyFont="1" applyFill="1" applyBorder="1" applyAlignment="1" applyProtection="1">
      <alignment horizontal="left" vertical="center" wrapText="1"/>
      <protection hidden="1"/>
    </xf>
    <xf numFmtId="181" fontId="28" fillId="42" borderId="173" xfId="0" applyNumberFormat="1" applyFont="1" applyFill="1" applyBorder="1" applyAlignment="1" applyProtection="1">
      <alignment horizontal="left" vertical="center"/>
      <protection hidden="1"/>
    </xf>
    <xf numFmtId="181" fontId="28" fillId="42" borderId="172" xfId="0" applyNumberFormat="1" applyFont="1" applyFill="1" applyBorder="1" applyAlignment="1" applyProtection="1">
      <alignment horizontal="left" vertical="center"/>
      <protection hidden="1"/>
    </xf>
    <xf numFmtId="0" fontId="28" fillId="27" borderId="177" xfId="0" applyFont="1" applyFill="1" applyBorder="1" applyAlignment="1">
      <alignment horizontal="left" vertical="center" wrapText="1"/>
    </xf>
    <xf numFmtId="0" fontId="27" fillId="0" borderId="0" xfId="0" applyFont="1" applyFill="1" applyAlignment="1" applyProtection="1">
      <alignment vertical="center"/>
      <protection hidden="1"/>
    </xf>
    <xf numFmtId="0" fontId="28" fillId="27" borderId="173" xfId="0" applyFont="1" applyFill="1" applyBorder="1" applyAlignment="1" applyProtection="1">
      <alignment horizontal="left" vertical="top" wrapText="1"/>
      <protection hidden="1"/>
    </xf>
    <xf numFmtId="181" fontId="26" fillId="27" borderId="51" xfId="0" applyNumberFormat="1" applyFont="1" applyFill="1" applyBorder="1" applyAlignment="1" applyProtection="1">
      <alignment horizontal="center" vertical="center"/>
      <protection hidden="1"/>
    </xf>
    <xf numFmtId="0" fontId="45" fillId="27" borderId="55" xfId="0" applyFont="1" applyFill="1" applyBorder="1" applyAlignment="1" applyProtection="1">
      <alignment vertical="center"/>
      <protection hidden="1"/>
    </xf>
    <xf numFmtId="0" fontId="28" fillId="27" borderId="177" xfId="0" applyFont="1" applyFill="1" applyBorder="1" applyAlignment="1" applyProtection="1">
      <alignment horizontal="center" vertical="center"/>
      <protection hidden="1"/>
    </xf>
    <xf numFmtId="0" fontId="28" fillId="27" borderId="199" xfId="0" applyFont="1" applyFill="1" applyBorder="1" applyAlignment="1" applyProtection="1">
      <alignment horizontal="center" vertical="center"/>
      <protection hidden="1"/>
    </xf>
    <xf numFmtId="0" fontId="28" fillId="27" borderId="198" xfId="0" applyFont="1" applyFill="1" applyBorder="1" applyAlignment="1" applyProtection="1">
      <alignment horizontal="center" vertical="center"/>
      <protection hidden="1"/>
    </xf>
    <xf numFmtId="0" fontId="28" fillId="27" borderId="166" xfId="0" applyFont="1" applyFill="1" applyBorder="1" applyAlignment="1" applyProtection="1">
      <alignment horizontal="center" vertical="center" wrapText="1"/>
      <protection hidden="1"/>
    </xf>
    <xf numFmtId="0" fontId="28" fillId="27" borderId="200" xfId="0" applyFont="1" applyFill="1" applyBorder="1" applyAlignment="1" applyProtection="1">
      <alignment horizontal="center" vertical="center" wrapText="1"/>
      <protection hidden="1"/>
    </xf>
    <xf numFmtId="0" fontId="28" fillId="27" borderId="168" xfId="0" applyFont="1" applyFill="1" applyBorder="1" applyAlignment="1" applyProtection="1">
      <alignment horizontal="center" vertical="center" wrapText="1"/>
      <protection hidden="1"/>
    </xf>
    <xf numFmtId="0" fontId="28" fillId="27" borderId="12" xfId="0" applyFont="1" applyFill="1" applyBorder="1" applyAlignment="1" applyProtection="1">
      <alignment horizontal="center" vertical="center"/>
      <protection hidden="1"/>
    </xf>
    <xf numFmtId="0" fontId="28" fillId="27" borderId="14" xfId="0" applyFont="1" applyFill="1" applyBorder="1" applyAlignment="1" applyProtection="1">
      <alignment horizontal="center" vertical="center"/>
      <protection hidden="1"/>
    </xf>
    <xf numFmtId="0" fontId="28" fillId="27" borderId="171" xfId="0" applyFont="1" applyFill="1" applyBorder="1" applyAlignment="1" applyProtection="1">
      <alignment horizontal="center" vertical="center"/>
      <protection hidden="1"/>
    </xf>
    <xf numFmtId="0" fontId="28" fillId="27" borderId="201" xfId="0" applyFont="1" applyFill="1" applyBorder="1" applyAlignment="1" applyProtection="1">
      <alignment horizontal="center" vertical="center"/>
      <protection hidden="1"/>
    </xf>
    <xf numFmtId="0" fontId="28" fillId="27" borderId="172" xfId="0" applyFont="1" applyFill="1" applyBorder="1" applyAlignment="1" applyProtection="1">
      <alignment horizontal="center" vertical="center"/>
      <protection hidden="1"/>
    </xf>
    <xf numFmtId="0" fontId="45" fillId="27" borderId="51" xfId="0" applyFont="1" applyFill="1" applyBorder="1" applyAlignment="1" applyProtection="1">
      <alignment vertical="center"/>
      <protection hidden="1"/>
    </xf>
    <xf numFmtId="0" fontId="28" fillId="27" borderId="168" xfId="0" applyFont="1" applyFill="1" applyBorder="1" applyAlignment="1" applyProtection="1">
      <alignment horizontal="center" vertical="center"/>
      <protection hidden="1"/>
    </xf>
    <xf numFmtId="0" fontId="28" fillId="0" borderId="53" xfId="0" applyFont="1" applyBorder="1" applyAlignment="1">
      <alignment vertical="center" wrapText="1"/>
    </xf>
    <xf numFmtId="0" fontId="28" fillId="0" borderId="0" xfId="0" applyFont="1" applyBorder="1" applyAlignment="1">
      <alignment horizontal="left" vertical="center" wrapText="1"/>
    </xf>
    <xf numFmtId="202" fontId="28" fillId="0" borderId="0" xfId="35" applyNumberFormat="1" applyFont="1" applyFill="1" applyBorder="1" applyAlignment="1" applyProtection="1">
      <alignment horizontal="center" vertical="center"/>
      <protection hidden="1"/>
    </xf>
    <xf numFmtId="0" fontId="28" fillId="0" borderId="0" xfId="0" applyFont="1" applyBorder="1" applyAlignment="1">
      <alignment horizontal="left" vertical="top" wrapText="1"/>
    </xf>
    <xf numFmtId="176" fontId="28" fillId="27" borderId="13" xfId="0" applyNumberFormat="1" applyFont="1" applyFill="1" applyBorder="1" applyAlignment="1" applyProtection="1">
      <alignment horizontal="left" vertical="center"/>
      <protection hidden="1"/>
    </xf>
    <xf numFmtId="176" fontId="28" fillId="27" borderId="173" xfId="0" applyNumberFormat="1" applyFont="1" applyFill="1" applyBorder="1" applyAlignment="1" applyProtection="1">
      <alignment horizontal="left" vertical="center"/>
      <protection hidden="1"/>
    </xf>
    <xf numFmtId="0" fontId="45" fillId="0" borderId="0" xfId="44" applyFont="1" applyBorder="1" applyAlignment="1"/>
    <xf numFmtId="0" fontId="23" fillId="0" borderId="0" xfId="44" applyFont="1" applyFill="1" applyBorder="1" applyAlignment="1">
      <alignment vertical="center"/>
    </xf>
    <xf numFmtId="0" fontId="125" fillId="0" borderId="0" xfId="44" applyFont="1" applyFill="1" applyBorder="1" applyAlignment="1">
      <alignment vertical="center"/>
    </xf>
    <xf numFmtId="0" fontId="33" fillId="0" borderId="0" xfId="44" applyFont="1" applyBorder="1" applyAlignment="1"/>
    <xf numFmtId="0" fontId="33" fillId="41" borderId="26" xfId="44" applyFont="1" applyFill="1" applyBorder="1" applyAlignment="1">
      <alignment horizontal="left"/>
    </xf>
    <xf numFmtId="0" fontId="33" fillId="41" borderId="50" xfId="44" applyFont="1" applyFill="1" applyBorder="1" applyAlignment="1">
      <alignment horizontal="center"/>
    </xf>
    <xf numFmtId="0" fontId="33" fillId="41" borderId="50" xfId="44" applyFont="1" applyFill="1" applyBorder="1" applyAlignment="1">
      <alignment horizontal="left"/>
    </xf>
    <xf numFmtId="0" fontId="33" fillId="41" borderId="27" xfId="44" applyFont="1" applyFill="1" applyBorder="1" applyAlignment="1"/>
    <xf numFmtId="0" fontId="33" fillId="0" borderId="0" xfId="44" applyFont="1" applyBorder="1" applyAlignment="1">
      <alignment horizontal="left"/>
    </xf>
    <xf numFmtId="0" fontId="33" fillId="0" borderId="0" xfId="44" applyFont="1" applyFill="1" applyBorder="1" applyAlignment="1">
      <alignment vertical="center"/>
    </xf>
    <xf numFmtId="0" fontId="33" fillId="41" borderId="26" xfId="44" applyFont="1" applyFill="1" applyBorder="1" applyAlignment="1" applyProtection="1">
      <alignment horizontal="left" vertical="center"/>
      <protection hidden="1"/>
    </xf>
    <xf numFmtId="0" fontId="33" fillId="41" borderId="27" xfId="44" applyFont="1" applyFill="1" applyBorder="1" applyAlignment="1">
      <alignment horizontal="left"/>
    </xf>
    <xf numFmtId="0" fontId="33" fillId="27" borderId="26" xfId="44" applyFont="1" applyFill="1" applyBorder="1" applyAlignment="1"/>
    <xf numFmtId="0" fontId="33" fillId="27" borderId="50" xfId="44" applyFont="1" applyFill="1" applyBorder="1" applyAlignment="1">
      <alignment horizontal="left"/>
    </xf>
    <xf numFmtId="0" fontId="33" fillId="27" borderId="50" xfId="44" applyFont="1" applyFill="1" applyBorder="1" applyAlignment="1"/>
    <xf numFmtId="0" fontId="33" fillId="27" borderId="27" xfId="44" applyFont="1" applyFill="1" applyBorder="1" applyAlignment="1"/>
    <xf numFmtId="0" fontId="33" fillId="31" borderId="10" xfId="44" applyFont="1" applyFill="1" applyBorder="1" applyAlignment="1">
      <alignment horizontal="center"/>
    </xf>
    <xf numFmtId="0" fontId="33" fillId="41" borderId="10" xfId="44" applyFont="1" applyFill="1" applyBorder="1" applyAlignment="1">
      <alignment horizontal="center"/>
    </xf>
    <xf numFmtId="0" fontId="33" fillId="31" borderId="0" xfId="44" applyFont="1" applyFill="1" applyBorder="1" applyAlignment="1">
      <alignment horizontal="left"/>
    </xf>
    <xf numFmtId="0" fontId="33" fillId="31" borderId="0" xfId="44" applyFont="1" applyFill="1" applyBorder="1" applyAlignment="1">
      <alignment vertical="center"/>
    </xf>
    <xf numFmtId="0" fontId="33" fillId="31" borderId="26" xfId="44" applyFont="1" applyFill="1" applyBorder="1" applyAlignment="1">
      <alignment horizontal="center"/>
    </xf>
    <xf numFmtId="0" fontId="33" fillId="27" borderId="52" xfId="44" applyFont="1" applyFill="1" applyBorder="1" applyAlignment="1"/>
    <xf numFmtId="0" fontId="33" fillId="27" borderId="53" xfId="44" applyFont="1" applyFill="1" applyBorder="1" applyAlignment="1">
      <alignment horizontal="left"/>
    </xf>
    <xf numFmtId="178" fontId="160" fillId="0" borderId="10" xfId="44" applyNumberFormat="1" applyFont="1" applyFill="1" applyBorder="1" applyAlignment="1"/>
    <xf numFmtId="0" fontId="33" fillId="27" borderId="64" xfId="44" applyFont="1" applyFill="1" applyBorder="1" applyAlignment="1"/>
    <xf numFmtId="9" fontId="33" fillId="27" borderId="27" xfId="44" applyNumberFormat="1" applyFont="1" applyFill="1" applyBorder="1" applyAlignment="1"/>
    <xf numFmtId="178" fontId="33" fillId="0" borderId="10" xfId="44" applyNumberFormat="1" applyFont="1" applyFill="1" applyBorder="1" applyAlignment="1"/>
    <xf numFmtId="0" fontId="33" fillId="31" borderId="52" xfId="44" applyFont="1" applyFill="1" applyBorder="1" applyAlignment="1">
      <alignment horizontal="center"/>
    </xf>
    <xf numFmtId="0" fontId="33" fillId="31" borderId="64" xfId="44" applyFont="1" applyFill="1" applyBorder="1" applyAlignment="1"/>
    <xf numFmtId="0" fontId="33" fillId="31" borderId="17" xfId="44" applyFont="1" applyFill="1" applyBorder="1" applyAlignment="1">
      <alignment horizontal="left"/>
    </xf>
    <xf numFmtId="0" fontId="33" fillId="31" borderId="26" xfId="0" applyFont="1" applyFill="1" applyBorder="1">
      <alignment vertical="center"/>
    </xf>
    <xf numFmtId="9" fontId="33" fillId="31" borderId="27" xfId="44" applyNumberFormat="1" applyFont="1" applyFill="1" applyBorder="1" applyAlignment="1"/>
    <xf numFmtId="0" fontId="33" fillId="31" borderId="15" xfId="44" applyFont="1" applyFill="1" applyBorder="1" applyAlignment="1">
      <alignment horizontal="center"/>
    </xf>
    <xf numFmtId="0" fontId="33" fillId="31" borderId="55" xfId="44" applyFont="1" applyFill="1" applyBorder="1" applyAlignment="1">
      <alignment horizontal="center"/>
    </xf>
    <xf numFmtId="0" fontId="33" fillId="31" borderId="56" xfId="44" applyFont="1" applyFill="1" applyBorder="1" applyAlignment="1"/>
    <xf numFmtId="0" fontId="33" fillId="31" borderId="57" xfId="44" applyFont="1" applyFill="1" applyBorder="1" applyAlignment="1">
      <alignment horizontal="left"/>
    </xf>
    <xf numFmtId="0" fontId="33" fillId="31" borderId="0" xfId="44" applyFont="1" applyFill="1" applyBorder="1" applyAlignment="1">
      <alignment horizontal="center"/>
    </xf>
    <xf numFmtId="0" fontId="33" fillId="0" borderId="53" xfId="44" applyFont="1" applyBorder="1" applyAlignment="1"/>
    <xf numFmtId="0" fontId="33" fillId="27" borderId="10" xfId="44" applyFont="1" applyFill="1" applyBorder="1" applyAlignment="1">
      <alignment horizontal="center"/>
    </xf>
    <xf numFmtId="0" fontId="33" fillId="27" borderId="53" xfId="44" applyFont="1" applyFill="1" applyBorder="1" applyAlignment="1"/>
    <xf numFmtId="192" fontId="33" fillId="27" borderId="54" xfId="44" applyNumberFormat="1" applyFont="1" applyFill="1" applyBorder="1" applyAlignment="1">
      <alignment horizontal="left"/>
    </xf>
    <xf numFmtId="0" fontId="33" fillId="27" borderId="0" xfId="44" applyFont="1" applyFill="1" applyBorder="1" applyAlignment="1">
      <alignment horizontal="center"/>
    </xf>
    <xf numFmtId="40" fontId="33" fillId="0" borderId="10" xfId="35" applyNumberFormat="1" applyFont="1" applyFill="1" applyBorder="1" applyAlignment="1"/>
    <xf numFmtId="9" fontId="33" fillId="31" borderId="50" xfId="0" applyNumberFormat="1" applyFont="1" applyFill="1" applyBorder="1">
      <alignment vertical="center"/>
    </xf>
    <xf numFmtId="9" fontId="33" fillId="31" borderId="15" xfId="44" applyNumberFormat="1" applyFont="1" applyFill="1" applyBorder="1" applyAlignment="1">
      <alignment horizontal="center"/>
    </xf>
    <xf numFmtId="0" fontId="33" fillId="27" borderId="56" xfId="44" applyFont="1" applyFill="1" applyBorder="1" applyAlignment="1"/>
    <xf numFmtId="40" fontId="33" fillId="0" borderId="51" xfId="35" applyNumberFormat="1" applyFont="1" applyFill="1" applyBorder="1" applyAlignment="1"/>
    <xf numFmtId="0" fontId="33" fillId="27" borderId="50" xfId="44" applyFont="1" applyFill="1" applyBorder="1" applyAlignment="1">
      <alignment horizontal="center"/>
    </xf>
    <xf numFmtId="9" fontId="33" fillId="31" borderId="53" xfId="0" applyNumberFormat="1" applyFont="1" applyFill="1" applyBorder="1">
      <alignment vertical="center"/>
    </xf>
    <xf numFmtId="40" fontId="33" fillId="25" borderId="51" xfId="35" applyNumberFormat="1" applyFont="1" applyFill="1" applyBorder="1" applyAlignment="1"/>
    <xf numFmtId="0" fontId="33" fillId="0" borderId="53" xfId="44" applyFont="1" applyBorder="1" applyAlignment="1">
      <alignment horizontal="left"/>
    </xf>
    <xf numFmtId="0" fontId="33" fillId="0" borderId="52" xfId="44" applyFont="1" applyBorder="1" applyAlignment="1"/>
    <xf numFmtId="0" fontId="33" fillId="0" borderId="54" xfId="44" applyFont="1" applyBorder="1" applyAlignment="1"/>
    <xf numFmtId="0" fontId="28" fillId="0" borderId="0" xfId="44" applyFont="1" applyBorder="1" applyAlignment="1"/>
    <xf numFmtId="0" fontId="33" fillId="0" borderId="17" xfId="44" applyFont="1" applyBorder="1" applyAlignment="1"/>
    <xf numFmtId="0" fontId="33" fillId="0" borderId="64" xfId="44" applyFont="1" applyBorder="1" applyAlignment="1"/>
    <xf numFmtId="0" fontId="28" fillId="0" borderId="56" xfId="44" applyFont="1" applyBorder="1" applyAlignment="1"/>
    <xf numFmtId="0" fontId="33" fillId="0" borderId="57" xfId="44" applyFont="1" applyBorder="1" applyAlignment="1"/>
    <xf numFmtId="0" fontId="33" fillId="0" borderId="58" xfId="44" applyFont="1" applyBorder="1" applyAlignment="1"/>
    <xf numFmtId="213" fontId="33" fillId="0" borderId="0" xfId="44" applyNumberFormat="1" applyFont="1" applyBorder="1" applyAlignment="1"/>
    <xf numFmtId="0" fontId="33" fillId="0" borderId="10" xfId="44" applyFont="1" applyBorder="1" applyAlignment="1"/>
    <xf numFmtId="192" fontId="33" fillId="27" borderId="27" xfId="44" applyNumberFormat="1" applyFont="1" applyFill="1" applyBorder="1" applyAlignment="1">
      <alignment horizontal="left"/>
    </xf>
    <xf numFmtId="9" fontId="33" fillId="0" borderId="10" xfId="28" applyFont="1" applyFill="1" applyBorder="1" applyAlignment="1"/>
    <xf numFmtId="0" fontId="33" fillId="0" borderId="10" xfId="44" applyFont="1" applyFill="1" applyBorder="1" applyAlignment="1"/>
    <xf numFmtId="0" fontId="23" fillId="0" borderId="0" xfId="44" applyFont="1" applyBorder="1" applyAlignment="1"/>
    <xf numFmtId="0" fontId="33" fillId="0" borderId="0" xfId="44" applyFont="1" applyFill="1" applyBorder="1" applyAlignment="1" applyProtection="1">
      <alignment horizontal="left" vertical="center"/>
      <protection hidden="1"/>
    </xf>
    <xf numFmtId="0" fontId="33" fillId="0" borderId="0" xfId="44" applyFont="1" applyFill="1" applyBorder="1" applyAlignment="1">
      <alignment horizontal="left"/>
    </xf>
    <xf numFmtId="38" fontId="33" fillId="0" borderId="10" xfId="35" applyFont="1" applyBorder="1" applyAlignment="1"/>
    <xf numFmtId="38" fontId="33" fillId="0" borderId="0" xfId="35" applyFont="1" applyBorder="1" applyAlignment="1"/>
    <xf numFmtId="0" fontId="33" fillId="27" borderId="10" xfId="0" applyFont="1" applyFill="1" applyBorder="1" applyAlignment="1">
      <alignment vertical="center"/>
    </xf>
    <xf numFmtId="191" fontId="33" fillId="0" borderId="10" xfId="44" applyNumberFormat="1" applyFont="1" applyFill="1" applyBorder="1" applyAlignment="1"/>
    <xf numFmtId="0" fontId="33" fillId="0" borderId="0" xfId="44" applyFont="1" applyFill="1" applyBorder="1" applyAlignment="1"/>
    <xf numFmtId="0" fontId="45" fillId="0" borderId="57" xfId="0" applyFont="1" applyBorder="1">
      <alignment vertical="center"/>
    </xf>
    <xf numFmtId="0" fontId="0" fillId="0" borderId="57" xfId="0" applyBorder="1">
      <alignment vertical="center"/>
    </xf>
    <xf numFmtId="0" fontId="26" fillId="0" borderId="0" xfId="0" applyFont="1" applyAlignment="1">
      <alignment horizontal="right" vertical="center"/>
    </xf>
    <xf numFmtId="0" fontId="33" fillId="27" borderId="10" xfId="0" applyFont="1" applyFill="1" applyBorder="1" applyAlignment="1">
      <alignment horizontal="center" vertical="center" wrapText="1"/>
    </xf>
    <xf numFmtId="0" fontId="33" fillId="27" borderId="10" xfId="0" applyFont="1" applyFill="1" applyBorder="1" applyAlignment="1">
      <alignment horizontal="center" vertical="center"/>
    </xf>
    <xf numFmtId="0" fontId="33" fillId="27" borderId="51" xfId="0" applyFont="1" applyFill="1" applyBorder="1" applyAlignment="1">
      <alignment horizontal="center" vertical="center" wrapText="1"/>
    </xf>
    <xf numFmtId="193" fontId="33" fillId="27" borderId="10" xfId="0" applyNumberFormat="1" applyFont="1" applyFill="1" applyBorder="1" applyAlignment="1">
      <alignment horizontal="center" vertical="center"/>
    </xf>
    <xf numFmtId="0" fontId="33" fillId="27" borderId="55" xfId="0" applyFont="1" applyFill="1" applyBorder="1" applyAlignment="1">
      <alignment horizontal="center" vertical="center"/>
    </xf>
    <xf numFmtId="0" fontId="33" fillId="27" borderId="27" xfId="0" applyFont="1" applyFill="1" applyBorder="1" applyAlignment="1">
      <alignment horizontal="center" vertical="center" wrapText="1"/>
    </xf>
    <xf numFmtId="211" fontId="33" fillId="27" borderId="10" xfId="0" applyNumberFormat="1" applyFont="1" applyFill="1" applyBorder="1" applyAlignment="1">
      <alignment horizontal="center" vertical="center"/>
    </xf>
    <xf numFmtId="0" fontId="33" fillId="27" borderId="10" xfId="0" applyFont="1" applyFill="1" applyBorder="1" applyAlignment="1">
      <alignment vertical="center" wrapText="1"/>
    </xf>
    <xf numFmtId="0" fontId="33" fillId="27" borderId="15" xfId="0" applyFont="1" applyFill="1" applyBorder="1" applyAlignment="1">
      <alignment horizontal="center" vertical="center" wrapText="1"/>
    </xf>
    <xf numFmtId="179" fontId="33" fillId="27" borderId="10" xfId="0" applyNumberFormat="1" applyFont="1" applyFill="1" applyBorder="1" applyAlignment="1">
      <alignment horizontal="center" vertical="center"/>
    </xf>
    <xf numFmtId="0" fontId="33" fillId="27" borderId="10" xfId="0" applyFont="1" applyFill="1" applyBorder="1" applyAlignment="1" applyProtection="1">
      <alignment vertical="center" wrapText="1"/>
    </xf>
    <xf numFmtId="0" fontId="33" fillId="27" borderId="10" xfId="0" applyFont="1" applyFill="1" applyBorder="1" applyAlignment="1">
      <alignment horizontal="left" vertical="center" wrapText="1"/>
    </xf>
    <xf numFmtId="0" fontId="33" fillId="27" borderId="10" xfId="0" applyFont="1" applyFill="1" applyBorder="1" applyAlignment="1">
      <alignment horizontal="left" vertical="center" wrapText="1" shrinkToFit="1"/>
    </xf>
    <xf numFmtId="0" fontId="33" fillId="27" borderId="10" xfId="0" applyFont="1" applyFill="1" applyBorder="1" applyAlignment="1">
      <alignment horizontal="center" vertical="center" wrapText="1" shrinkToFit="1"/>
    </xf>
    <xf numFmtId="0" fontId="33" fillId="27" borderId="51" xfId="0" applyFont="1" applyFill="1" applyBorder="1" applyAlignment="1">
      <alignment horizontal="left" vertical="center" wrapText="1"/>
    </xf>
    <xf numFmtId="0" fontId="33" fillId="27" borderId="51" xfId="0" applyFont="1" applyFill="1" applyBorder="1" applyAlignment="1">
      <alignment horizontal="center" vertical="center" wrapText="1" shrinkToFit="1"/>
    </xf>
    <xf numFmtId="0" fontId="33" fillId="27" borderId="51" xfId="0" applyFont="1" applyFill="1" applyBorder="1" applyAlignment="1">
      <alignment vertical="center" wrapText="1"/>
    </xf>
    <xf numFmtId="0" fontId="33" fillId="27" borderId="64" xfId="0" applyFont="1" applyFill="1" applyBorder="1" applyAlignment="1">
      <alignment horizontal="center" vertical="center" wrapText="1"/>
    </xf>
    <xf numFmtId="0" fontId="33" fillId="27" borderId="26" xfId="0" applyFont="1" applyFill="1" applyBorder="1" applyAlignment="1">
      <alignment horizontal="left" vertical="center"/>
    </xf>
    <xf numFmtId="0" fontId="33" fillId="27" borderId="50" xfId="0" applyFont="1" applyFill="1" applyBorder="1" applyAlignment="1">
      <alignment horizontal="left" vertical="center" wrapText="1"/>
    </xf>
    <xf numFmtId="0" fontId="33" fillId="27" borderId="50" xfId="0" applyFont="1" applyFill="1" applyBorder="1" applyAlignment="1">
      <alignment horizontal="left" vertical="center" wrapText="1" shrinkToFit="1"/>
    </xf>
    <xf numFmtId="0" fontId="33" fillId="27" borderId="27" xfId="0" applyFont="1" applyFill="1" applyBorder="1" applyAlignment="1">
      <alignment vertical="center" wrapText="1"/>
    </xf>
    <xf numFmtId="0" fontId="33" fillId="27" borderId="169" xfId="0" applyFont="1" applyFill="1" applyBorder="1" applyAlignment="1">
      <alignment horizontal="center" vertical="center" wrapText="1"/>
    </xf>
    <xf numFmtId="40" fontId="33" fillId="27" borderId="169" xfId="0" applyNumberFormat="1" applyFont="1" applyFill="1" applyBorder="1" applyAlignment="1">
      <alignment horizontal="center" vertical="center" wrapText="1"/>
    </xf>
    <xf numFmtId="178" fontId="33" fillId="27" borderId="169" xfId="0" applyNumberFormat="1" applyFont="1" applyFill="1" applyBorder="1" applyAlignment="1">
      <alignment horizontal="center" vertical="center" wrapText="1" shrinkToFit="1"/>
    </xf>
    <xf numFmtId="0" fontId="33" fillId="27" borderId="16" xfId="0" applyFont="1" applyFill="1" applyBorder="1" applyAlignment="1" applyProtection="1">
      <alignment vertical="center" wrapText="1"/>
    </xf>
    <xf numFmtId="0" fontId="33" fillId="27" borderId="11" xfId="0" applyFont="1" applyFill="1" applyBorder="1" applyAlignment="1">
      <alignment horizontal="center" vertical="center" wrapText="1"/>
    </xf>
    <xf numFmtId="40" fontId="33" fillId="27" borderId="11" xfId="0" applyNumberFormat="1" applyFont="1" applyFill="1" applyBorder="1" applyAlignment="1">
      <alignment horizontal="center" vertical="center" wrapText="1"/>
    </xf>
    <xf numFmtId="178" fontId="33" fillId="27" borderId="11" xfId="0" applyNumberFormat="1" applyFont="1" applyFill="1" applyBorder="1" applyAlignment="1">
      <alignment horizontal="center" vertical="center" wrapText="1" shrinkToFit="1"/>
    </xf>
    <xf numFmtId="0" fontId="33" fillId="27" borderId="169" xfId="0" applyFont="1" applyFill="1" applyBorder="1" applyAlignment="1" applyProtection="1">
      <alignment vertical="center" wrapText="1"/>
    </xf>
    <xf numFmtId="0" fontId="33" fillId="27" borderId="11" xfId="0" applyFont="1" applyFill="1" applyBorder="1" applyAlignment="1" applyProtection="1">
      <alignment vertical="center" wrapText="1"/>
    </xf>
    <xf numFmtId="0" fontId="33" fillId="27" borderId="179" xfId="0" applyFont="1" applyFill="1" applyBorder="1" applyAlignment="1">
      <alignment horizontal="center" vertical="center" wrapText="1"/>
    </xf>
    <xf numFmtId="0" fontId="33" fillId="27" borderId="179" xfId="0" applyFont="1" applyFill="1" applyBorder="1" applyAlignment="1">
      <alignment horizontal="center" vertical="center" wrapText="1" shrinkToFit="1"/>
    </xf>
    <xf numFmtId="0" fontId="33" fillId="27" borderId="179" xfId="0" applyFont="1" applyFill="1" applyBorder="1" applyAlignment="1" applyProtection="1">
      <alignment vertical="center" wrapText="1"/>
    </xf>
    <xf numFmtId="0" fontId="33" fillId="27" borderId="27" xfId="0" applyFont="1" applyFill="1" applyBorder="1" applyAlignment="1" applyProtection="1">
      <alignment vertical="center" wrapText="1"/>
    </xf>
    <xf numFmtId="0" fontId="33" fillId="27" borderId="53" xfId="0" applyFont="1" applyFill="1" applyBorder="1" applyAlignment="1">
      <alignment horizontal="left" vertical="center" wrapText="1" shrinkToFit="1"/>
    </xf>
    <xf numFmtId="0" fontId="33" fillId="27" borderId="54" xfId="0" applyFont="1" applyFill="1" applyBorder="1" applyAlignment="1">
      <alignment vertical="center"/>
    </xf>
    <xf numFmtId="9" fontId="33" fillId="27" borderId="177" xfId="0" applyNumberFormat="1" applyFont="1" applyFill="1" applyBorder="1" applyAlignment="1">
      <alignment horizontal="center" vertical="center" wrapText="1"/>
    </xf>
    <xf numFmtId="9" fontId="33" fillId="41" borderId="202" xfId="0" applyNumberFormat="1" applyFont="1" applyFill="1" applyBorder="1" applyAlignment="1" applyProtection="1">
      <alignment horizontal="center" vertical="center" wrapText="1"/>
      <protection locked="0"/>
    </xf>
    <xf numFmtId="0" fontId="33" fillId="41" borderId="203" xfId="0" applyFont="1" applyFill="1" applyBorder="1" applyAlignment="1" applyProtection="1">
      <alignment vertical="center"/>
      <protection locked="0"/>
    </xf>
    <xf numFmtId="9" fontId="33" fillId="41" borderId="116" xfId="0" applyNumberFormat="1" applyFont="1" applyFill="1" applyBorder="1" applyAlignment="1" applyProtection="1">
      <alignment horizontal="center" vertical="center" wrapText="1"/>
      <protection locked="0"/>
    </xf>
    <xf numFmtId="0" fontId="33" fillId="41" borderId="117" xfId="0" applyFont="1" applyFill="1" applyBorder="1" applyAlignment="1" applyProtection="1">
      <alignment vertical="center"/>
      <protection locked="0"/>
    </xf>
    <xf numFmtId="0" fontId="33" fillId="27" borderId="169" xfId="0" applyFont="1" applyFill="1" applyBorder="1" applyAlignment="1">
      <alignment vertical="center" wrapText="1"/>
    </xf>
    <xf numFmtId="0" fontId="33" fillId="27" borderId="170" xfId="0" applyFont="1" applyFill="1" applyBorder="1" applyAlignment="1">
      <alignment horizontal="center" vertical="center" wrapText="1"/>
    </xf>
    <xf numFmtId="9" fontId="33" fillId="27" borderId="171" xfId="0" applyNumberFormat="1" applyFont="1" applyFill="1" applyBorder="1" applyAlignment="1">
      <alignment horizontal="center" vertical="center" wrapText="1" shrinkToFit="1"/>
    </xf>
    <xf numFmtId="0" fontId="33" fillId="27" borderId="15" xfId="0" applyFont="1" applyFill="1" applyBorder="1" applyAlignment="1">
      <alignment vertical="center" wrapText="1"/>
    </xf>
    <xf numFmtId="0" fontId="33" fillId="27" borderId="54" xfId="0" applyFont="1" applyFill="1" applyBorder="1" applyAlignment="1">
      <alignment horizontal="center" vertical="center" wrapText="1"/>
    </xf>
    <xf numFmtId="179" fontId="33" fillId="27" borderId="51" xfId="0" applyNumberFormat="1" applyFont="1" applyFill="1" applyBorder="1" applyAlignment="1">
      <alignment horizontal="center" vertical="center"/>
    </xf>
    <xf numFmtId="179" fontId="33" fillId="27" borderId="15" xfId="0" applyNumberFormat="1" applyFont="1" applyFill="1" applyBorder="1" applyAlignment="1">
      <alignment horizontal="center" vertical="center"/>
    </xf>
    <xf numFmtId="0" fontId="33" fillId="27" borderId="26" xfId="0" applyFont="1" applyFill="1" applyBorder="1" applyAlignment="1">
      <alignment horizontal="center" vertical="center" wrapText="1"/>
    </xf>
    <xf numFmtId="0" fontId="33" fillId="27" borderId="50" xfId="0" applyFont="1" applyFill="1" applyBorder="1" applyAlignment="1">
      <alignment horizontal="center" vertical="center"/>
    </xf>
    <xf numFmtId="0" fontId="33" fillId="27" borderId="58" xfId="0" applyFont="1" applyFill="1" applyBorder="1" applyAlignment="1">
      <alignment horizontal="center" vertical="center" wrapText="1"/>
    </xf>
    <xf numFmtId="211" fontId="33" fillId="27" borderId="15" xfId="0" applyNumberFormat="1" applyFont="1" applyFill="1" applyBorder="1" applyAlignment="1">
      <alignment horizontal="center" vertical="center"/>
    </xf>
    <xf numFmtId="211" fontId="33" fillId="27" borderId="11" xfId="0" applyNumberFormat="1" applyFont="1" applyFill="1" applyBorder="1" applyAlignment="1">
      <alignment horizontal="center" vertical="center"/>
    </xf>
    <xf numFmtId="0" fontId="33" fillId="27" borderId="11" xfId="0" applyFont="1" applyFill="1" applyBorder="1" applyAlignment="1">
      <alignment vertical="center" wrapText="1"/>
    </xf>
    <xf numFmtId="9" fontId="33" fillId="27" borderId="15" xfId="0" applyNumberFormat="1" applyFont="1" applyFill="1" applyBorder="1" applyAlignment="1">
      <alignment horizontal="center" vertical="center"/>
    </xf>
    <xf numFmtId="0" fontId="33" fillId="27" borderId="15" xfId="0" applyFont="1" applyFill="1" applyBorder="1" applyAlignment="1">
      <alignment vertical="center"/>
    </xf>
    <xf numFmtId="9" fontId="33" fillId="27" borderId="11" xfId="0" applyNumberFormat="1" applyFont="1" applyFill="1" applyBorder="1" applyAlignment="1">
      <alignment horizontal="center" vertical="center"/>
    </xf>
    <xf numFmtId="0" fontId="33" fillId="27" borderId="11" xfId="0" applyFont="1" applyFill="1" applyBorder="1" applyAlignment="1">
      <alignment vertical="center"/>
    </xf>
    <xf numFmtId="9" fontId="33" fillId="27" borderId="55" xfId="0" applyNumberFormat="1" applyFont="1" applyFill="1" applyBorder="1" applyAlignment="1">
      <alignment horizontal="center" vertical="center"/>
    </xf>
    <xf numFmtId="0" fontId="33" fillId="27" borderId="55" xfId="0" applyFont="1" applyFill="1" applyBorder="1" applyAlignment="1">
      <alignment vertical="center"/>
    </xf>
    <xf numFmtId="0" fontId="33" fillId="27" borderId="55" xfId="0" applyFont="1" applyFill="1" applyBorder="1" applyAlignment="1">
      <alignment horizontal="center" vertical="center" wrapText="1"/>
    </xf>
    <xf numFmtId="0" fontId="33" fillId="27" borderId="50" xfId="0" applyFont="1" applyFill="1" applyBorder="1" applyAlignment="1">
      <alignment horizontal="center" vertical="center" wrapText="1"/>
    </xf>
    <xf numFmtId="0" fontId="33" fillId="27" borderId="27" xfId="0" applyFont="1" applyFill="1" applyBorder="1" applyAlignment="1">
      <alignment vertical="center"/>
    </xf>
    <xf numFmtId="179" fontId="33" fillId="27" borderId="169" xfId="0" quotePrefix="1" applyNumberFormat="1" applyFont="1" applyFill="1" applyBorder="1" applyAlignment="1">
      <alignment horizontal="center" vertical="center"/>
    </xf>
    <xf numFmtId="178" fontId="33" fillId="27" borderId="169" xfId="0" applyNumberFormat="1" applyFont="1" applyFill="1" applyBorder="1" applyAlignment="1">
      <alignment horizontal="center" vertical="center"/>
    </xf>
    <xf numFmtId="179" fontId="33" fillId="27" borderId="11" xfId="0" applyNumberFormat="1" applyFont="1" applyFill="1" applyBorder="1" applyAlignment="1">
      <alignment horizontal="center" vertical="center" wrapText="1"/>
    </xf>
    <xf numFmtId="179" fontId="33" fillId="27" borderId="11" xfId="0" applyNumberFormat="1" applyFont="1" applyFill="1" applyBorder="1" applyAlignment="1">
      <alignment horizontal="center" vertical="center"/>
    </xf>
    <xf numFmtId="0" fontId="33" fillId="27" borderId="11" xfId="0" applyFont="1" applyFill="1" applyBorder="1" applyAlignment="1" applyProtection="1">
      <alignment vertical="center" wrapText="1"/>
      <protection locked="0"/>
    </xf>
    <xf numFmtId="179" fontId="33" fillId="27" borderId="15" xfId="0" applyNumberFormat="1" applyFont="1" applyFill="1" applyBorder="1" applyAlignment="1">
      <alignment horizontal="right" vertical="center" wrapText="1"/>
    </xf>
    <xf numFmtId="179" fontId="33" fillId="27" borderId="169" xfId="0" applyNumberFormat="1" applyFont="1" applyFill="1" applyBorder="1" applyAlignment="1">
      <alignment horizontal="right" vertical="center" wrapText="1"/>
    </xf>
    <xf numFmtId="179" fontId="33" fillId="27" borderId="169" xfId="0" applyNumberFormat="1" applyFont="1" applyFill="1" applyBorder="1" applyAlignment="1">
      <alignment horizontal="center" vertical="center"/>
    </xf>
    <xf numFmtId="0" fontId="33" fillId="27" borderId="169" xfId="0" applyFont="1" applyFill="1" applyBorder="1" applyAlignment="1" applyProtection="1">
      <alignment vertical="center" wrapText="1"/>
      <protection locked="0"/>
    </xf>
    <xf numFmtId="179" fontId="33" fillId="27" borderId="55" xfId="0" applyNumberFormat="1" applyFont="1" applyFill="1" applyBorder="1" applyAlignment="1">
      <alignment horizontal="center" vertical="center"/>
    </xf>
    <xf numFmtId="179" fontId="33" fillId="27" borderId="55" xfId="0" quotePrefix="1" applyNumberFormat="1" applyFont="1" applyFill="1" applyBorder="1" applyAlignment="1">
      <alignment horizontal="center" vertical="center"/>
    </xf>
    <xf numFmtId="0" fontId="33" fillId="27" borderId="55" xfId="0" applyFont="1" applyFill="1" applyBorder="1" applyAlignment="1" applyProtection="1">
      <alignment vertical="center" wrapText="1"/>
    </xf>
    <xf numFmtId="0" fontId="33" fillId="27" borderId="16" xfId="0" applyFont="1" applyFill="1" applyBorder="1" applyAlignment="1">
      <alignment horizontal="center" vertical="center" wrapText="1"/>
    </xf>
    <xf numFmtId="179" fontId="33" fillId="27" borderId="15" xfId="0" quotePrefix="1" applyNumberFormat="1" applyFont="1" applyFill="1" applyBorder="1" applyAlignment="1">
      <alignment horizontal="center" vertical="center"/>
    </xf>
    <xf numFmtId="0" fontId="33" fillId="27" borderId="15" xfId="0" applyFont="1" applyFill="1" applyBorder="1" applyAlignment="1" applyProtection="1">
      <alignment vertical="center" wrapText="1"/>
    </xf>
    <xf numFmtId="0" fontId="33" fillId="27" borderId="11" xfId="0" applyFont="1" applyFill="1" applyBorder="1" applyAlignment="1">
      <alignment horizontal="left" vertical="center" wrapText="1"/>
    </xf>
    <xf numFmtId="179" fontId="33" fillId="27" borderId="11" xfId="0" quotePrefix="1" applyNumberFormat="1" applyFont="1" applyFill="1" applyBorder="1" applyAlignment="1">
      <alignment horizontal="center" vertical="center"/>
    </xf>
    <xf numFmtId="179" fontId="33" fillId="27" borderId="55" xfId="0" applyNumberFormat="1" applyFont="1" applyFill="1" applyBorder="1" applyAlignment="1">
      <alignment horizontal="left" vertical="center" wrapText="1"/>
    </xf>
    <xf numFmtId="38" fontId="33" fillId="27" borderId="51" xfId="35" applyFont="1" applyFill="1" applyBorder="1" applyAlignment="1">
      <alignment horizontal="center" vertical="center" wrapText="1"/>
    </xf>
    <xf numFmtId="0" fontId="33" fillId="27" borderId="51" xfId="0" applyFont="1" applyFill="1" applyBorder="1" applyAlignment="1">
      <alignment vertical="center"/>
    </xf>
    <xf numFmtId="0" fontId="33" fillId="27" borderId="26" xfId="0" applyFont="1" applyFill="1" applyBorder="1" applyAlignment="1">
      <alignment vertical="center"/>
    </xf>
    <xf numFmtId="0" fontId="33" fillId="27" borderId="198" xfId="0" applyFont="1" applyFill="1" applyBorder="1" applyAlignment="1">
      <alignment horizontal="center" vertical="center" shrinkToFit="1"/>
    </xf>
    <xf numFmtId="213" fontId="33" fillId="27" borderId="169" xfId="0" applyNumberFormat="1" applyFont="1" applyFill="1" applyBorder="1" applyAlignment="1">
      <alignment horizontal="center" vertical="center"/>
    </xf>
    <xf numFmtId="0" fontId="33" fillId="27" borderId="169" xfId="0" applyFont="1" applyFill="1" applyBorder="1" applyAlignment="1">
      <alignment horizontal="center" vertical="center"/>
    </xf>
    <xf numFmtId="0" fontId="33" fillId="27" borderId="14"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172" xfId="0" applyFont="1" applyFill="1" applyBorder="1" applyAlignment="1">
      <alignment horizontal="center" vertical="center" wrapText="1"/>
    </xf>
    <xf numFmtId="0" fontId="33" fillId="27" borderId="170" xfId="0" applyFont="1" applyFill="1" applyBorder="1" applyAlignment="1">
      <alignment horizontal="center" vertical="center"/>
    </xf>
    <xf numFmtId="0" fontId="33" fillId="27" borderId="170" xfId="0" applyFont="1" applyFill="1" applyBorder="1" applyAlignment="1" applyProtection="1">
      <alignment vertical="center" wrapText="1"/>
      <protection locked="0"/>
    </xf>
    <xf numFmtId="0" fontId="33" fillId="27" borderId="0" xfId="0" applyFont="1" applyFill="1" applyBorder="1" applyAlignment="1">
      <alignment horizontal="center" vertical="center" wrapText="1"/>
    </xf>
    <xf numFmtId="0" fontId="33" fillId="41" borderId="55" xfId="0" applyFont="1" applyFill="1" applyBorder="1" applyAlignment="1" applyProtection="1">
      <alignment horizontal="center" vertical="center"/>
      <protection locked="0"/>
    </xf>
    <xf numFmtId="0" fontId="33" fillId="41" borderId="55" xfId="0" applyFont="1" applyFill="1" applyBorder="1" applyAlignment="1" applyProtection="1">
      <alignment vertical="center"/>
      <protection locked="0"/>
    </xf>
    <xf numFmtId="0" fontId="33" fillId="41" borderId="10" xfId="0" applyFont="1" applyFill="1" applyBorder="1" applyAlignment="1" applyProtection="1">
      <alignment horizontal="center" vertical="center"/>
      <protection locked="0"/>
    </xf>
    <xf numFmtId="0" fontId="33" fillId="41" borderId="10" xfId="0" applyFont="1" applyFill="1" applyBorder="1" applyAlignment="1" applyProtection="1">
      <alignment vertical="center"/>
      <protection locked="0"/>
    </xf>
    <xf numFmtId="211"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vertical="center" wrapText="1"/>
      <protection locked="0"/>
    </xf>
    <xf numFmtId="179"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left" vertical="center" wrapText="1"/>
      <protection locked="0"/>
    </xf>
    <xf numFmtId="0" fontId="33" fillId="41" borderId="10" xfId="0" applyFont="1" applyFill="1" applyBorder="1" applyAlignment="1" applyProtection="1">
      <alignment horizontal="left" vertical="center" wrapText="1" shrinkToFit="1"/>
      <protection locked="0"/>
    </xf>
    <xf numFmtId="0" fontId="33" fillId="41" borderId="10"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horizontal="center" vertical="center" wrapText="1"/>
      <protection locked="0"/>
    </xf>
    <xf numFmtId="0" fontId="33" fillId="41" borderId="16"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vertical="center" wrapText="1"/>
      <protection locked="0"/>
    </xf>
    <xf numFmtId="0" fontId="33" fillId="27" borderId="11" xfId="0" applyFont="1" applyFill="1" applyBorder="1" applyAlignment="1">
      <alignment horizontal="center" vertical="center" shrinkToFit="1"/>
    </xf>
    <xf numFmtId="0" fontId="33" fillId="41" borderId="11" xfId="0" applyFont="1" applyFill="1" applyBorder="1" applyAlignment="1" applyProtection="1">
      <alignment horizontal="center" vertical="center" wrapText="1"/>
      <protection locked="0"/>
    </xf>
    <xf numFmtId="0" fontId="33" fillId="41" borderId="11" xfId="0" applyFont="1" applyFill="1" applyBorder="1" applyAlignment="1" applyProtection="1">
      <alignment horizontal="center" vertical="center" wrapText="1" shrinkToFit="1"/>
      <protection locked="0"/>
    </xf>
    <xf numFmtId="0" fontId="33" fillId="41" borderId="169" xfId="0" applyFont="1" applyFill="1" applyBorder="1" applyAlignment="1" applyProtection="1">
      <alignment vertical="center" wrapText="1"/>
      <protection locked="0"/>
    </xf>
    <xf numFmtId="0" fontId="33" fillId="41" borderId="11" xfId="0" applyFont="1" applyFill="1" applyBorder="1" applyAlignment="1" applyProtection="1">
      <alignment vertical="center" wrapText="1"/>
      <protection locked="0"/>
    </xf>
    <xf numFmtId="0" fontId="33" fillId="41" borderId="179" xfId="0" applyFont="1" applyFill="1" applyBorder="1" applyAlignment="1" applyProtection="1">
      <alignment horizontal="center" vertical="center" wrapText="1"/>
      <protection locked="0"/>
    </xf>
    <xf numFmtId="0" fontId="33" fillId="41" borderId="179" xfId="0" applyFont="1" applyFill="1" applyBorder="1" applyAlignment="1" applyProtection="1">
      <alignment horizontal="center" vertical="center" wrapText="1" shrinkToFit="1"/>
      <protection locked="0"/>
    </xf>
    <xf numFmtId="0" fontId="33" fillId="41" borderId="179" xfId="0" applyFont="1" applyFill="1" applyBorder="1" applyAlignment="1" applyProtection="1">
      <alignment vertical="center" wrapText="1"/>
      <protection locked="0"/>
    </xf>
    <xf numFmtId="0" fontId="33" fillId="41" borderId="169" xfId="0" applyFont="1" applyFill="1" applyBorder="1" applyAlignment="1" applyProtection="1">
      <alignment horizontal="center" vertical="center" wrapText="1"/>
      <protection locked="0"/>
    </xf>
    <xf numFmtId="0" fontId="33" fillId="41" borderId="169" xfId="0" applyFont="1" applyFill="1" applyBorder="1" applyAlignment="1" applyProtection="1">
      <alignment horizontal="center" vertical="center" wrapText="1" shrinkToFit="1"/>
      <protection locked="0"/>
    </xf>
    <xf numFmtId="0" fontId="33" fillId="27" borderId="11" xfId="0" applyFont="1" applyFill="1" applyBorder="1" applyAlignment="1" applyProtection="1">
      <alignment horizontal="center" vertical="center" wrapText="1"/>
      <protection locked="0"/>
    </xf>
    <xf numFmtId="9" fontId="33" fillId="41" borderId="169" xfId="0" applyNumberFormat="1" applyFont="1" applyFill="1" applyBorder="1" applyAlignment="1" applyProtection="1">
      <alignment horizontal="center" vertical="center" wrapText="1"/>
      <protection locked="0"/>
    </xf>
    <xf numFmtId="0" fontId="33" fillId="41" borderId="169" xfId="0" applyFont="1" applyFill="1" applyBorder="1" applyAlignment="1" applyProtection="1">
      <alignment vertical="center"/>
      <protection locked="0"/>
    </xf>
    <xf numFmtId="0" fontId="33" fillId="41" borderId="11" xfId="0" applyFont="1" applyFill="1" applyBorder="1" applyAlignment="1" applyProtection="1">
      <alignment vertical="center"/>
      <protection locked="0"/>
    </xf>
    <xf numFmtId="9" fontId="33" fillId="41" borderId="170" xfId="0" applyNumberFormat="1" applyFont="1" applyFill="1" applyBorder="1" applyAlignment="1" applyProtection="1">
      <alignment horizontal="center" vertical="center" wrapText="1" shrinkToFit="1"/>
      <protection locked="0"/>
    </xf>
    <xf numFmtId="0" fontId="33" fillId="41" borderId="170" xfId="0" applyFont="1" applyFill="1" applyBorder="1" applyAlignment="1" applyProtection="1">
      <alignment vertical="center"/>
      <protection locked="0"/>
    </xf>
    <xf numFmtId="179" fontId="33" fillId="41" borderId="51" xfId="0" applyNumberFormat="1" applyFont="1" applyFill="1" applyBorder="1" applyAlignment="1" applyProtection="1">
      <alignment horizontal="center" vertical="center"/>
      <protection locked="0"/>
    </xf>
    <xf numFmtId="211" fontId="33" fillId="41" borderId="55" xfId="0" applyNumberFormat="1" applyFont="1" applyFill="1" applyBorder="1" applyAlignment="1" applyProtection="1">
      <alignment horizontal="center" vertical="center"/>
      <protection locked="0"/>
    </xf>
    <xf numFmtId="0" fontId="33" fillId="41" borderId="55" xfId="0" applyFont="1" applyFill="1" applyBorder="1" applyAlignment="1" applyProtection="1">
      <alignment vertical="center" wrapText="1"/>
      <protection locked="0"/>
    </xf>
    <xf numFmtId="211" fontId="33" fillId="41" borderId="51" xfId="0" applyNumberFormat="1" applyFont="1" applyFill="1" applyBorder="1" applyAlignment="1" applyProtection="1">
      <alignment horizontal="center" vertical="center"/>
      <protection locked="0"/>
    </xf>
    <xf numFmtId="0" fontId="33" fillId="41" borderId="51" xfId="0" applyFont="1" applyFill="1" applyBorder="1" applyAlignment="1" applyProtection="1">
      <alignment vertical="center" wrapText="1"/>
      <protection locked="0"/>
    </xf>
    <xf numFmtId="9" fontId="33" fillId="41" borderId="55" xfId="0" applyNumberFormat="1" applyFont="1" applyFill="1" applyBorder="1" applyAlignment="1" applyProtection="1">
      <alignment horizontal="center" vertical="center"/>
      <protection locked="0"/>
    </xf>
    <xf numFmtId="9"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center" vertical="center" wrapText="1"/>
      <protection locked="0"/>
    </xf>
    <xf numFmtId="178" fontId="33" fillId="41" borderId="169" xfId="0" applyNumberFormat="1" applyFont="1" applyFill="1" applyBorder="1" applyAlignment="1" applyProtection="1">
      <alignment horizontal="center" vertical="center"/>
      <protection locked="0"/>
    </xf>
    <xf numFmtId="0" fontId="33" fillId="27" borderId="17" xfId="0" applyFont="1" applyFill="1" applyBorder="1" applyAlignment="1">
      <alignment horizontal="center" vertical="center" wrapText="1"/>
    </xf>
    <xf numFmtId="178" fontId="33" fillId="41" borderId="11" xfId="0" applyNumberFormat="1" applyFont="1" applyFill="1" applyBorder="1" applyAlignment="1" applyProtection="1">
      <alignment horizontal="center" vertical="center"/>
      <protection locked="0"/>
    </xf>
    <xf numFmtId="178" fontId="33" fillId="41" borderId="15" xfId="0" applyNumberFormat="1" applyFont="1" applyFill="1" applyBorder="1" applyAlignment="1" applyProtection="1">
      <alignment horizontal="center" vertical="center"/>
      <protection locked="0"/>
    </xf>
    <xf numFmtId="179" fontId="33" fillId="41" borderId="55" xfId="0" applyNumberFormat="1" applyFont="1" applyFill="1" applyBorder="1" applyAlignment="1" applyProtection="1">
      <alignment horizontal="center" vertical="center"/>
      <protection locked="0"/>
    </xf>
    <xf numFmtId="0" fontId="33" fillId="41" borderId="170" xfId="0" applyFont="1" applyFill="1" applyBorder="1" applyAlignment="1" applyProtection="1">
      <alignment vertical="center" wrapText="1"/>
      <protection locked="0"/>
    </xf>
    <xf numFmtId="38" fontId="33" fillId="41" borderId="51" xfId="35" applyFont="1" applyFill="1" applyBorder="1" applyAlignment="1" applyProtection="1">
      <alignment horizontal="center" vertical="center" wrapText="1"/>
      <protection locked="0"/>
    </xf>
    <xf numFmtId="0" fontId="33" fillId="41" borderId="51" xfId="0" applyFont="1" applyFill="1" applyBorder="1" applyAlignment="1" applyProtection="1">
      <alignment vertical="center"/>
      <protection locked="0"/>
    </xf>
    <xf numFmtId="0" fontId="33" fillId="41" borderId="169" xfId="0" applyFont="1" applyFill="1" applyBorder="1" applyAlignment="1" applyProtection="1">
      <alignment horizontal="center" vertical="center"/>
      <protection locked="0"/>
    </xf>
    <xf numFmtId="0" fontId="33" fillId="41" borderId="11" xfId="0" applyFont="1" applyFill="1" applyBorder="1" applyAlignment="1" applyProtection="1">
      <alignment horizontal="center" vertical="center"/>
      <protection locked="0"/>
    </xf>
    <xf numFmtId="0" fontId="33" fillId="41" borderId="172" xfId="0" applyFont="1" applyFill="1" applyBorder="1" applyAlignment="1" applyProtection="1">
      <alignment horizontal="center" vertical="center" wrapText="1"/>
      <protection locked="0"/>
    </xf>
    <xf numFmtId="0" fontId="33" fillId="41" borderId="170" xfId="0" applyFont="1" applyFill="1" applyBorder="1" applyAlignment="1" applyProtection="1">
      <alignment horizontal="center" vertical="center"/>
      <protection locked="0"/>
    </xf>
    <xf numFmtId="38" fontId="33" fillId="27" borderId="11" xfId="35" applyFont="1" applyFill="1" applyBorder="1" applyAlignment="1">
      <alignment horizontal="center" vertical="center" wrapText="1" shrinkToFit="1"/>
    </xf>
    <xf numFmtId="0" fontId="33" fillId="27" borderId="179" xfId="0" applyFont="1" applyFill="1" applyBorder="1" applyAlignment="1" applyProtection="1">
      <alignment vertical="center" wrapText="1"/>
      <protection locked="0"/>
    </xf>
    <xf numFmtId="190" fontId="33" fillId="27" borderId="11" xfId="0" applyNumberFormat="1" applyFont="1" applyFill="1" applyBorder="1" applyAlignment="1">
      <alignment horizontal="center" vertical="center" wrapText="1" shrinkToFit="1"/>
    </xf>
    <xf numFmtId="0" fontId="33" fillId="27" borderId="169" xfId="0" applyFont="1" applyFill="1" applyBorder="1" applyAlignment="1">
      <alignment horizontal="left" vertical="center"/>
    </xf>
    <xf numFmtId="38" fontId="33" fillId="27" borderId="169" xfId="35" applyFont="1" applyFill="1" applyBorder="1" applyAlignment="1">
      <alignment horizontal="center" vertical="center" wrapText="1" shrinkToFit="1"/>
    </xf>
    <xf numFmtId="40" fontId="33" fillId="27" borderId="179" xfId="0" applyNumberFormat="1" applyFont="1" applyFill="1" applyBorder="1" applyAlignment="1">
      <alignment horizontal="center" vertical="center" wrapText="1"/>
    </xf>
    <xf numFmtId="38" fontId="33" fillId="27" borderId="179" xfId="35" applyFont="1" applyFill="1" applyBorder="1" applyAlignment="1">
      <alignment horizontal="center" vertical="center" wrapText="1" shrinkToFit="1"/>
    </xf>
    <xf numFmtId="40" fontId="33" fillId="27" borderId="170" xfId="0" applyNumberFormat="1" applyFont="1" applyFill="1" applyBorder="1" applyAlignment="1">
      <alignment horizontal="center" vertical="center" wrapText="1"/>
    </xf>
    <xf numFmtId="178" fontId="33" fillId="27" borderId="170" xfId="0" applyNumberFormat="1" applyFont="1" applyFill="1" applyBorder="1" applyAlignment="1">
      <alignment horizontal="center" vertical="center" wrapText="1" shrinkToFit="1"/>
    </xf>
    <xf numFmtId="0" fontId="33" fillId="0" borderId="0" xfId="0" applyFont="1" applyFill="1" applyAlignment="1">
      <alignment horizontal="left"/>
    </xf>
    <xf numFmtId="0" fontId="33" fillId="0" borderId="0" xfId="0" applyFont="1" applyFill="1" applyAlignment="1">
      <alignment shrinkToFit="1"/>
    </xf>
    <xf numFmtId="190" fontId="33" fillId="0" borderId="0" xfId="35" applyNumberFormat="1" applyFont="1" applyFill="1" applyBorder="1" applyAlignment="1"/>
    <xf numFmtId="178" fontId="33" fillId="0" borderId="0" xfId="35" applyNumberFormat="1" applyFont="1" applyFill="1" applyBorder="1" applyAlignment="1"/>
    <xf numFmtId="49" fontId="33" fillId="0" borderId="0" xfId="35" applyNumberFormat="1" applyFont="1" applyFill="1" applyBorder="1" applyAlignment="1">
      <alignment horizontal="center"/>
    </xf>
    <xf numFmtId="2" fontId="33" fillId="0" borderId="0" xfId="0" applyNumberFormat="1" applyFont="1" applyFill="1" applyBorder="1" applyAlignment="1">
      <alignment horizontal="left" shrinkToFit="1"/>
    </xf>
    <xf numFmtId="2" fontId="33" fillId="0" borderId="0" xfId="0" applyNumberFormat="1" applyFont="1" applyFill="1" applyBorder="1" applyAlignment="1">
      <alignment horizontal="center"/>
    </xf>
    <xf numFmtId="0" fontId="6" fillId="0" borderId="0" xfId="0" applyNumberFormat="1" applyFont="1">
      <alignment vertical="center"/>
    </xf>
    <xf numFmtId="0" fontId="6" fillId="0" borderId="0" xfId="0" applyFont="1" applyAlignment="1">
      <alignment horizontal="left" vertical="center" shrinkToFit="1"/>
    </xf>
    <xf numFmtId="178" fontId="149" fillId="0" borderId="0" xfId="35" applyNumberFormat="1" applyFont="1" applyFill="1" applyBorder="1" applyAlignment="1" applyProtection="1">
      <protection hidden="1"/>
    </xf>
    <xf numFmtId="0" fontId="33" fillId="0" borderId="0" xfId="0" applyFont="1" applyFill="1" applyAlignment="1" applyProtection="1">
      <alignment shrinkToFit="1"/>
      <protection hidden="1"/>
    </xf>
    <xf numFmtId="0" fontId="150" fillId="0" borderId="0" xfId="0" applyNumberFormat="1" applyFont="1" applyFill="1" applyBorder="1" applyAlignment="1" applyProtection="1">
      <alignment horizontal="left" vertical="center"/>
      <protection hidden="1"/>
    </xf>
    <xf numFmtId="178" fontId="150" fillId="0" borderId="0" xfId="35" applyNumberFormat="1" applyFont="1" applyFill="1" applyBorder="1" applyAlignment="1" applyProtection="1">
      <protection hidden="1"/>
    </xf>
    <xf numFmtId="178" fontId="33" fillId="0" borderId="0" xfId="35" applyNumberFormat="1" applyFont="1" applyFill="1" applyBorder="1" applyAlignment="1" applyProtection="1">
      <protection hidden="1"/>
    </xf>
    <xf numFmtId="2" fontId="149" fillId="0" borderId="0" xfId="0" applyNumberFormat="1" applyFont="1" applyFill="1" applyBorder="1" applyAlignment="1" applyProtection="1">
      <alignment horizontal="left"/>
      <protection hidden="1"/>
    </xf>
    <xf numFmtId="49" fontId="149" fillId="0" borderId="0" xfId="0" applyNumberFormat="1" applyFont="1" applyFill="1" applyBorder="1" applyProtection="1">
      <alignment vertical="center"/>
      <protection hidden="1"/>
    </xf>
    <xf numFmtId="0" fontId="150" fillId="0" borderId="0" xfId="0" applyFont="1" applyAlignment="1">
      <alignment vertical="center" shrinkToFit="1"/>
    </xf>
    <xf numFmtId="0" fontId="150" fillId="0" borderId="0" xfId="0" applyFont="1">
      <alignment vertical="center"/>
    </xf>
    <xf numFmtId="2" fontId="150" fillId="0" borderId="0" xfId="0" applyNumberFormat="1" applyFont="1" applyFill="1" applyBorder="1" applyAlignment="1" applyProtection="1">
      <alignment horizontal="center"/>
      <protection hidden="1"/>
    </xf>
    <xf numFmtId="0" fontId="150" fillId="0" borderId="0" xfId="0" applyNumberFormat="1" applyFont="1">
      <alignment vertical="center"/>
    </xf>
    <xf numFmtId="0" fontId="150" fillId="0" borderId="0" xfId="0" applyFont="1" applyAlignment="1">
      <alignment horizontal="left" vertical="center" shrinkToFit="1"/>
    </xf>
    <xf numFmtId="0" fontId="150" fillId="0" borderId="0" xfId="0" applyFont="1" applyFill="1">
      <alignment vertical="center"/>
    </xf>
    <xf numFmtId="0" fontId="149" fillId="0" borderId="0" xfId="0" applyNumberFormat="1" applyFont="1" applyFill="1" applyBorder="1" applyProtection="1">
      <alignment vertical="center"/>
      <protection hidden="1"/>
    </xf>
    <xf numFmtId="2" fontId="6" fillId="0" borderId="0" xfId="0" applyNumberFormat="1" applyFont="1" applyFill="1" applyBorder="1" applyAlignment="1" applyProtection="1">
      <alignment horizontal="left" shrinkToFit="1"/>
      <protection hidden="1"/>
    </xf>
    <xf numFmtId="1" fontId="149" fillId="0" borderId="0" xfId="0" applyNumberFormat="1" applyFont="1" applyFill="1" applyBorder="1" applyAlignment="1" applyProtection="1">
      <alignment horizontal="center"/>
      <protection hidden="1"/>
    </xf>
    <xf numFmtId="2" fontId="150" fillId="0" borderId="0" xfId="0" applyNumberFormat="1" applyFont="1" applyFill="1" applyBorder="1" applyAlignment="1" applyProtection="1">
      <alignment horizontal="left" shrinkToFit="1"/>
      <protection hidden="1"/>
    </xf>
    <xf numFmtId="0" fontId="6" fillId="35" borderId="52" xfId="0" applyFont="1" applyFill="1" applyBorder="1" applyAlignment="1" applyProtection="1">
      <alignment horizontal="center" vertical="center"/>
      <protection hidden="1"/>
    </xf>
    <xf numFmtId="0" fontId="6" fillId="35" borderId="54" xfId="0" applyFont="1" applyFill="1" applyBorder="1" applyAlignment="1" applyProtection="1">
      <alignment horizontal="center" vertical="center" shrinkToFit="1"/>
      <protection hidden="1"/>
    </xf>
    <xf numFmtId="0" fontId="6" fillId="35" borderId="26" xfId="0" applyFont="1" applyFill="1" applyBorder="1" applyAlignment="1" applyProtection="1">
      <alignment horizontal="centerContinuous" vertical="center"/>
      <protection hidden="1"/>
    </xf>
    <xf numFmtId="0" fontId="6" fillId="35" borderId="27" xfId="0" applyFont="1" applyFill="1" applyBorder="1" applyAlignment="1" applyProtection="1">
      <alignment horizontal="centerContinuous" vertical="center"/>
      <protection hidden="1"/>
    </xf>
    <xf numFmtId="0" fontId="33" fillId="35" borderId="26" xfId="0" applyFont="1" applyFill="1" applyBorder="1" applyAlignment="1" applyProtection="1">
      <alignment horizontal="centerContinuous" vertical="center"/>
      <protection hidden="1"/>
    </xf>
    <xf numFmtId="0" fontId="33" fillId="35" borderId="27" xfId="0" applyFont="1" applyFill="1" applyBorder="1" applyAlignment="1" applyProtection="1">
      <alignment horizontal="centerContinuous" vertical="center"/>
      <protection hidden="1"/>
    </xf>
    <xf numFmtId="178" fontId="33" fillId="35" borderId="10" xfId="35" applyNumberFormat="1" applyFont="1" applyFill="1" applyBorder="1" applyAlignment="1" applyProtection="1">
      <alignment horizontal="centerContinuous" vertical="center"/>
      <protection hidden="1"/>
    </xf>
    <xf numFmtId="0" fontId="33" fillId="35" borderId="50" xfId="0" applyFont="1" applyFill="1" applyBorder="1" applyAlignment="1" applyProtection="1">
      <alignment horizontal="centerContinuous" vertical="center"/>
      <protection hidden="1"/>
    </xf>
    <xf numFmtId="0" fontId="6" fillId="35" borderId="10" xfId="0" applyFont="1" applyFill="1" applyBorder="1" applyAlignment="1" applyProtection="1">
      <alignment horizontal="center" vertical="center"/>
      <protection hidden="1"/>
    </xf>
    <xf numFmtId="0" fontId="6" fillId="35" borderId="10" xfId="0" applyFont="1" applyFill="1" applyBorder="1" applyAlignment="1" applyProtection="1">
      <alignment horizontal="center" vertical="center" shrinkToFit="1"/>
      <protection hidden="1"/>
    </xf>
    <xf numFmtId="2" fontId="33" fillId="35" borderId="10" xfId="0" applyNumberFormat="1" applyFont="1" applyFill="1" applyBorder="1" applyAlignment="1" applyProtection="1">
      <alignment horizontal="center"/>
      <protection hidden="1"/>
    </xf>
    <xf numFmtId="0" fontId="6" fillId="35" borderId="10" xfId="0" applyNumberFormat="1" applyFont="1" applyFill="1" applyBorder="1" applyAlignment="1" applyProtection="1">
      <alignment horizontal="center" vertical="center"/>
      <protection hidden="1"/>
    </xf>
    <xf numFmtId="0" fontId="6" fillId="35" borderId="10" xfId="0" applyFont="1" applyFill="1" applyBorder="1" applyAlignment="1" applyProtection="1">
      <alignment horizontal="left" vertical="center" shrinkToFit="1"/>
      <protection hidden="1"/>
    </xf>
    <xf numFmtId="0" fontId="6" fillId="35" borderId="56" xfId="0" applyFont="1" applyFill="1" applyBorder="1" applyAlignment="1" applyProtection="1">
      <alignment horizontal="center" vertical="center" shrinkToFit="1"/>
      <protection hidden="1"/>
    </xf>
    <xf numFmtId="0" fontId="6" fillId="35" borderId="58" xfId="0" applyFont="1" applyFill="1" applyBorder="1" applyAlignment="1" applyProtection="1">
      <alignment horizontal="center" vertical="center" shrinkToFit="1"/>
      <protection hidden="1"/>
    </xf>
    <xf numFmtId="178" fontId="33" fillId="35" borderId="10" xfId="35" applyNumberFormat="1" applyFont="1" applyFill="1" applyBorder="1" applyAlignment="1" applyProtection="1">
      <alignment horizontal="center" shrinkToFit="1"/>
      <protection hidden="1"/>
    </xf>
    <xf numFmtId="2" fontId="33" fillId="35" borderId="10" xfId="0" applyNumberFormat="1" applyFont="1" applyFill="1" applyBorder="1" applyAlignment="1" applyProtection="1">
      <alignment horizontal="center" vertical="top" shrinkToFit="1"/>
      <protection hidden="1"/>
    </xf>
    <xf numFmtId="2" fontId="33" fillId="35" borderId="26" xfId="0" applyNumberFormat="1" applyFont="1" applyFill="1" applyBorder="1" applyAlignment="1" applyProtection="1">
      <alignment horizontal="center" vertical="top" shrinkToFit="1"/>
      <protection hidden="1"/>
    </xf>
    <xf numFmtId="2" fontId="33" fillId="35" borderId="27" xfId="0" applyNumberFormat="1" applyFont="1" applyFill="1" applyBorder="1" applyAlignment="1" applyProtection="1">
      <alignment horizontal="center" vertical="top" shrinkToFit="1"/>
      <protection hidden="1"/>
    </xf>
    <xf numFmtId="0" fontId="6" fillId="35" borderId="10" xfId="0" applyNumberFormat="1" applyFont="1" applyFill="1" applyBorder="1" applyAlignment="1" applyProtection="1">
      <alignment horizontal="center" vertical="center" shrinkToFit="1"/>
      <protection hidden="1"/>
    </xf>
    <xf numFmtId="0" fontId="6" fillId="0" borderId="0" xfId="0" applyFont="1" applyFill="1" applyAlignment="1">
      <alignment vertical="center" shrinkToFit="1"/>
    </xf>
    <xf numFmtId="0" fontId="6" fillId="35" borderId="56" xfId="0" applyFont="1" applyFill="1" applyBorder="1" applyAlignment="1" applyProtection="1">
      <alignment horizontal="center" vertical="center"/>
      <protection hidden="1"/>
    </xf>
    <xf numFmtId="0" fontId="33" fillId="35" borderId="58" xfId="0" applyFont="1" applyFill="1" applyBorder="1" applyAlignment="1" applyProtection="1">
      <alignment horizontal="center" vertical="center" shrinkToFit="1"/>
      <protection hidden="1"/>
    </xf>
    <xf numFmtId="190" fontId="33" fillId="35" borderId="27" xfId="35" applyNumberFormat="1" applyFont="1" applyFill="1" applyBorder="1" applyAlignment="1" applyProtection="1">
      <protection hidden="1"/>
    </xf>
    <xf numFmtId="178" fontId="33" fillId="35" borderId="10" xfId="35" applyNumberFormat="1" applyFont="1" applyFill="1" applyBorder="1" applyAlignment="1" applyProtection="1">
      <alignment horizontal="center"/>
      <protection hidden="1"/>
    </xf>
    <xf numFmtId="197" fontId="33" fillId="35" borderId="10" xfId="35" applyNumberFormat="1" applyFont="1" applyFill="1" applyBorder="1" applyAlignment="1" applyProtection="1">
      <alignment horizontal="center" vertical="top"/>
      <protection hidden="1"/>
    </xf>
    <xf numFmtId="197" fontId="33" fillId="35" borderId="26" xfId="35" applyNumberFormat="1" applyFont="1" applyFill="1" applyBorder="1" applyAlignment="1" applyProtection="1">
      <alignment horizontal="center" vertical="top"/>
      <protection hidden="1"/>
    </xf>
    <xf numFmtId="40" fontId="33" fillId="35" borderId="10" xfId="35" applyNumberFormat="1" applyFont="1" applyFill="1" applyBorder="1" applyAlignment="1" applyProtection="1">
      <alignment horizontal="center" vertical="top"/>
      <protection hidden="1"/>
    </xf>
    <xf numFmtId="40" fontId="33" fillId="35" borderId="26" xfId="35" applyNumberFormat="1" applyFont="1" applyFill="1" applyBorder="1" applyAlignment="1" applyProtection="1">
      <alignment horizontal="center" vertical="top"/>
      <protection hidden="1"/>
    </xf>
    <xf numFmtId="0" fontId="23" fillId="35" borderId="10" xfId="0" applyFont="1" applyFill="1" applyBorder="1" applyAlignment="1" applyProtection="1">
      <alignment horizontal="center" vertical="center"/>
      <protection hidden="1"/>
    </xf>
    <xf numFmtId="0" fontId="45" fillId="35" borderId="58" xfId="0" applyFont="1" applyFill="1" applyBorder="1" applyAlignment="1" applyProtection="1">
      <alignment horizontal="left" vertical="center" shrinkToFit="1"/>
      <protection hidden="1"/>
    </xf>
    <xf numFmtId="190" fontId="125" fillId="35" borderId="27" xfId="35" applyNumberFormat="1" applyFont="1" applyFill="1" applyBorder="1" applyAlignment="1" applyProtection="1">
      <protection hidden="1"/>
    </xf>
    <xf numFmtId="178" fontId="125" fillId="35" borderId="10" xfId="35" applyNumberFormat="1" applyFont="1" applyFill="1" applyBorder="1" applyAlignment="1" applyProtection="1">
      <alignment horizontal="center"/>
      <protection hidden="1"/>
    </xf>
    <xf numFmtId="197" fontId="33" fillId="35" borderId="27" xfId="0" applyNumberFormat="1" applyFont="1" applyFill="1" applyBorder="1" applyAlignment="1" applyProtection="1">
      <alignment horizontal="center" vertical="top"/>
      <protection hidden="1"/>
    </xf>
    <xf numFmtId="197" fontId="33" fillId="35" borderId="10" xfId="0" applyNumberFormat="1" applyFont="1" applyFill="1" applyBorder="1" applyAlignment="1" applyProtection="1">
      <alignment horizontal="center" vertical="top"/>
      <protection hidden="1"/>
    </xf>
    <xf numFmtId="0" fontId="23" fillId="35" borderId="10" xfId="0" applyNumberFormat="1" applyFont="1" applyFill="1" applyBorder="1" applyAlignment="1" applyProtection="1">
      <alignment horizontal="center" vertical="center"/>
      <protection hidden="1"/>
    </xf>
    <xf numFmtId="0" fontId="23" fillId="35" borderId="10" xfId="0" applyFont="1" applyFill="1" applyBorder="1" applyAlignment="1" applyProtection="1">
      <alignment horizontal="left" vertical="center" shrinkToFit="1"/>
      <protection hidden="1"/>
    </xf>
    <xf numFmtId="40" fontId="125" fillId="35" borderId="10" xfId="35" applyNumberFormat="1" applyFont="1" applyFill="1" applyBorder="1" applyAlignment="1" applyProtection="1">
      <alignment horizontal="center" vertical="top"/>
      <protection hidden="1"/>
    </xf>
    <xf numFmtId="40" fontId="125" fillId="35" borderId="26" xfId="35" applyNumberFormat="1" applyFont="1" applyFill="1" applyBorder="1" applyAlignment="1" applyProtection="1">
      <alignment horizontal="center" vertical="top"/>
      <protection hidden="1"/>
    </xf>
    <xf numFmtId="2" fontId="125" fillId="35" borderId="27" xfId="0" applyNumberFormat="1" applyFont="1" applyFill="1" applyBorder="1" applyAlignment="1" applyProtection="1">
      <alignment horizontal="center" vertical="top"/>
      <protection hidden="1"/>
    </xf>
    <xf numFmtId="2" fontId="125" fillId="35" borderId="10" xfId="0" applyNumberFormat="1" applyFont="1" applyFill="1" applyBorder="1" applyAlignment="1" applyProtection="1">
      <alignment horizontal="center" vertical="top"/>
      <protection hidden="1"/>
    </xf>
    <xf numFmtId="0" fontId="125" fillId="31" borderId="10" xfId="0" applyNumberFormat="1" applyFont="1" applyFill="1" applyBorder="1" applyAlignment="1" applyProtection="1">
      <alignment horizontal="left" vertical="center"/>
      <protection hidden="1"/>
    </xf>
    <xf numFmtId="0" fontId="125" fillId="31" borderId="10" xfId="0" applyNumberFormat="1" applyFont="1" applyFill="1" applyBorder="1" applyAlignment="1" applyProtection="1">
      <alignment vertical="center" shrinkToFit="1"/>
      <protection hidden="1"/>
    </xf>
    <xf numFmtId="190" fontId="125" fillId="31" borderId="10" xfId="35" applyNumberFormat="1" applyFont="1" applyFill="1" applyBorder="1" applyAlignment="1" applyProtection="1">
      <alignment horizontal="right"/>
      <protection hidden="1"/>
    </xf>
    <xf numFmtId="191" fontId="125" fillId="31" borderId="10" xfId="35" applyNumberFormat="1" applyFont="1" applyFill="1" applyBorder="1" applyAlignment="1" applyProtection="1">
      <protection hidden="1"/>
    </xf>
    <xf numFmtId="0" fontId="125" fillId="31" borderId="10" xfId="0" applyNumberFormat="1" applyFont="1" applyFill="1" applyBorder="1" applyAlignment="1" applyProtection="1">
      <alignment horizontal="left" vertical="center" shrinkToFit="1"/>
      <protection hidden="1"/>
    </xf>
    <xf numFmtId="197" fontId="125" fillId="31" borderId="10" xfId="35" applyNumberFormat="1" applyFont="1" applyFill="1" applyBorder="1" applyAlignment="1" applyProtection="1">
      <alignment horizontal="center" vertical="center"/>
      <protection hidden="1"/>
    </xf>
    <xf numFmtId="197" fontId="125" fillId="31" borderId="27" xfId="35" applyNumberFormat="1" applyFont="1" applyFill="1" applyBorder="1" applyAlignment="1" applyProtection="1">
      <alignment horizontal="center" vertical="center"/>
      <protection hidden="1"/>
    </xf>
    <xf numFmtId="49" fontId="125" fillId="31" borderId="10" xfId="0" applyNumberFormat="1" applyFont="1" applyFill="1" applyBorder="1" applyAlignment="1" applyProtection="1">
      <alignment horizontal="left" vertical="center"/>
      <protection hidden="1"/>
    </xf>
    <xf numFmtId="2" fontId="125" fillId="31" borderId="10" xfId="35" applyNumberFormat="1" applyFont="1" applyFill="1" applyBorder="1" applyAlignment="1" applyProtection="1">
      <alignment horizontal="center" vertical="center"/>
      <protection hidden="1"/>
    </xf>
    <xf numFmtId="2" fontId="125" fillId="31" borderId="27" xfId="35" applyNumberFormat="1" applyFont="1" applyFill="1" applyBorder="1" applyAlignment="1" applyProtection="1">
      <alignment horizontal="center" vertical="center"/>
      <protection hidden="1"/>
    </xf>
    <xf numFmtId="0" fontId="125" fillId="27" borderId="10" xfId="0" applyNumberFormat="1" applyFont="1" applyFill="1" applyBorder="1" applyAlignment="1" applyProtection="1">
      <alignment vertical="center" shrinkToFit="1"/>
      <protection hidden="1"/>
    </xf>
    <xf numFmtId="190" fontId="125" fillId="27" borderId="10" xfId="35" applyNumberFormat="1" applyFont="1" applyFill="1" applyBorder="1" applyAlignment="1" applyProtection="1">
      <alignment horizontal="right"/>
      <protection hidden="1"/>
    </xf>
    <xf numFmtId="191" fontId="125" fillId="27" borderId="10" xfId="35" applyNumberFormat="1" applyFont="1" applyFill="1" applyBorder="1" applyAlignment="1" applyProtection="1">
      <protection hidden="1"/>
    </xf>
    <xf numFmtId="190" fontId="33" fillId="27" borderId="10" xfId="0" applyNumberFormat="1" applyFont="1" applyFill="1" applyBorder="1" applyProtection="1">
      <alignment vertical="center"/>
      <protection hidden="1"/>
    </xf>
    <xf numFmtId="0" fontId="125" fillId="27" borderId="10" xfId="0" applyNumberFormat="1" applyFont="1" applyFill="1" applyBorder="1" applyAlignment="1" applyProtection="1">
      <alignment horizontal="left" vertical="center"/>
      <protection hidden="1"/>
    </xf>
    <xf numFmtId="0" fontId="125" fillId="27" borderId="10" xfId="0" applyNumberFormat="1" applyFont="1" applyFill="1" applyBorder="1" applyAlignment="1" applyProtection="1">
      <alignment horizontal="left" vertical="center" shrinkToFit="1"/>
      <protection hidden="1"/>
    </xf>
    <xf numFmtId="197" fontId="125" fillId="27" borderId="10" xfId="35" applyNumberFormat="1" applyFont="1" applyFill="1" applyBorder="1" applyAlignment="1" applyProtection="1">
      <alignment horizontal="center"/>
      <protection hidden="1"/>
    </xf>
    <xf numFmtId="197" fontId="125" fillId="27" borderId="26" xfId="35" applyNumberFormat="1" applyFont="1" applyFill="1" applyBorder="1" applyAlignment="1" applyProtection="1">
      <alignment horizontal="center" vertical="center"/>
      <protection hidden="1"/>
    </xf>
    <xf numFmtId="197" fontId="125" fillId="27" borderId="27" xfId="35" applyNumberFormat="1" applyFont="1" applyFill="1" applyBorder="1" applyAlignment="1" applyProtection="1">
      <alignment horizontal="center"/>
      <protection hidden="1"/>
    </xf>
    <xf numFmtId="49" fontId="125" fillId="27" borderId="10" xfId="0" applyNumberFormat="1" applyFont="1" applyFill="1" applyBorder="1" applyAlignment="1" applyProtection="1">
      <alignment horizontal="left" vertical="center"/>
      <protection hidden="1"/>
    </xf>
    <xf numFmtId="2" fontId="125" fillId="27" borderId="10" xfId="35" applyNumberFormat="1" applyFont="1" applyFill="1" applyBorder="1" applyAlignment="1" applyProtection="1">
      <alignment horizontal="center"/>
      <protection hidden="1"/>
    </xf>
    <xf numFmtId="2" fontId="125" fillId="27" borderId="27" xfId="35" applyNumberFormat="1" applyFont="1" applyFill="1" applyBorder="1" applyAlignment="1" applyProtection="1">
      <alignment horizontal="center"/>
      <protection hidden="1"/>
    </xf>
    <xf numFmtId="2" fontId="125" fillId="27" borderId="26" xfId="35" applyNumberFormat="1" applyFont="1" applyFill="1" applyBorder="1" applyAlignment="1" applyProtection="1">
      <alignment horizontal="center" vertical="center"/>
      <protection hidden="1"/>
    </xf>
    <xf numFmtId="0" fontId="33" fillId="27" borderId="10" xfId="0" applyFont="1" applyFill="1" applyBorder="1" applyAlignment="1" applyProtection="1">
      <alignment vertical="center" shrinkToFit="1"/>
      <protection hidden="1"/>
    </xf>
    <xf numFmtId="190" fontId="33" fillId="27" borderId="10" xfId="35" applyNumberFormat="1" applyFont="1" applyFill="1" applyBorder="1" applyAlignment="1" applyProtection="1">
      <alignment horizontal="right"/>
      <protection hidden="1"/>
    </xf>
    <xf numFmtId="191" fontId="33" fillId="27" borderId="10" xfId="35" applyNumberFormat="1" applyFont="1" applyFill="1" applyBorder="1" applyAlignment="1" applyProtection="1">
      <protection hidden="1"/>
    </xf>
    <xf numFmtId="0" fontId="33" fillId="27" borderId="10" xfId="0" applyNumberFormat="1" applyFont="1" applyFill="1" applyBorder="1" applyAlignment="1" applyProtection="1">
      <alignment horizontal="left" vertical="center"/>
      <protection hidden="1"/>
    </xf>
    <xf numFmtId="0"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vertical="center"/>
      <protection hidden="1"/>
    </xf>
    <xf numFmtId="197" fontId="33" fillId="27" borderId="27" xfId="35" applyNumberFormat="1" applyFont="1" applyFill="1" applyBorder="1" applyAlignment="1" applyProtection="1">
      <alignment horizontal="center" vertical="center"/>
      <protection hidden="1"/>
    </xf>
    <xf numFmtId="49" fontId="33" fillId="27" borderId="10" xfId="0" applyNumberFormat="1" applyFont="1" applyFill="1" applyBorder="1" applyAlignment="1" applyProtection="1">
      <alignment horizontal="left" vertical="center"/>
      <protection hidden="1"/>
    </xf>
    <xf numFmtId="0" fontId="33" fillId="27" borderId="10" xfId="0" applyFont="1" applyFill="1" applyBorder="1" applyAlignment="1" applyProtection="1">
      <alignment horizontal="left" vertical="center" shrinkToFit="1"/>
      <protection hidden="1"/>
    </xf>
    <xf numFmtId="197" fontId="33" fillId="45" borderId="10" xfId="35" applyNumberFormat="1" applyFont="1" applyFill="1" applyBorder="1" applyAlignment="1" applyProtection="1">
      <alignment horizontal="center" vertical="center"/>
      <protection hidden="1"/>
    </xf>
    <xf numFmtId="2" fontId="33" fillId="27" borderId="10" xfId="35" applyNumberFormat="1" applyFont="1" applyFill="1" applyBorder="1" applyAlignment="1" applyProtection="1">
      <alignment horizontal="center" vertical="center"/>
      <protection hidden="1"/>
    </xf>
    <xf numFmtId="2" fontId="33" fillId="27" borderId="27" xfId="35" applyNumberFormat="1" applyFont="1" applyFill="1" applyBorder="1" applyAlignment="1" applyProtection="1">
      <alignment horizontal="center" vertical="center"/>
      <protection hidden="1"/>
    </xf>
    <xf numFmtId="178" fontId="33" fillId="27" borderId="26" xfId="0" applyNumberFormat="1" applyFont="1" applyFill="1" applyBorder="1" applyAlignment="1" applyProtection="1">
      <alignment horizontal="center" vertical="center"/>
      <protection hidden="1"/>
    </xf>
    <xf numFmtId="2" fontId="33" fillId="45" borderId="10" xfId="35" applyNumberFormat="1" applyFont="1" applyFill="1" applyBorder="1" applyAlignment="1" applyProtection="1">
      <alignment horizontal="center" vertical="center"/>
      <protection hidden="1"/>
    </xf>
    <xf numFmtId="197" fontId="33" fillId="27" borderId="26" xfId="35" applyNumberFormat="1" applyFont="1" applyFill="1" applyBorder="1" applyAlignment="1" applyProtection="1">
      <alignment horizontal="center" vertical="center"/>
      <protection hidden="1"/>
    </xf>
    <xf numFmtId="197" fontId="33" fillId="42" borderId="10" xfId="35" applyNumberFormat="1" applyFont="1" applyFill="1" applyBorder="1" applyAlignment="1" applyProtection="1">
      <alignment horizontal="center" vertical="center"/>
      <protection hidden="1"/>
    </xf>
    <xf numFmtId="2" fontId="33" fillId="46" borderId="10" xfId="35" applyNumberFormat="1" applyFont="1" applyFill="1" applyBorder="1" applyAlignment="1" applyProtection="1">
      <alignment horizontal="center" vertical="center"/>
      <protection hidden="1"/>
    </xf>
    <xf numFmtId="2" fontId="33" fillId="27" borderId="26" xfId="35" applyNumberFormat="1" applyFont="1" applyFill="1" applyBorder="1" applyAlignment="1" applyProtection="1">
      <alignment horizontal="center" vertical="center"/>
      <protection hidden="1"/>
    </xf>
    <xf numFmtId="0" fontId="125" fillId="27" borderId="10" xfId="0" applyFont="1" applyFill="1" applyBorder="1" applyAlignment="1" applyProtection="1">
      <alignment vertical="center" shrinkToFit="1"/>
      <protection hidden="1"/>
    </xf>
    <xf numFmtId="197" fontId="125" fillId="27" borderId="26" xfId="0" applyNumberFormat="1" applyFont="1" applyFill="1" applyBorder="1" applyAlignment="1" applyProtection="1">
      <alignment horizontal="center" vertical="center"/>
      <protection hidden="1"/>
    </xf>
    <xf numFmtId="0" fontId="125" fillId="27" borderId="10" xfId="0" applyFont="1" applyFill="1" applyBorder="1" applyAlignment="1" applyProtection="1">
      <alignment horizontal="left" vertical="center" shrinkToFit="1"/>
      <protection hidden="1"/>
    </xf>
    <xf numFmtId="178" fontId="125" fillId="27" borderId="26" xfId="0" applyNumberFormat="1" applyFont="1" applyFill="1" applyBorder="1" applyAlignment="1" applyProtection="1">
      <alignment horizontal="center" vertical="center"/>
      <protection hidden="1"/>
    </xf>
    <xf numFmtId="0" fontId="33" fillId="27" borderId="10" xfId="0" applyNumberFormat="1" applyFont="1" applyFill="1" applyBorder="1" applyAlignment="1" applyProtection="1">
      <alignment vertical="center" shrinkToFit="1"/>
      <protection hidden="1"/>
    </xf>
    <xf numFmtId="197" fontId="33" fillId="27" borderId="26" xfId="0" applyNumberFormat="1" applyFont="1" applyFill="1" applyBorder="1" applyAlignment="1" applyProtection="1">
      <alignment horizontal="center" vertical="center"/>
      <protection hidden="1"/>
    </xf>
    <xf numFmtId="197" fontId="33" fillId="27" borderId="10" xfId="0" applyNumberFormat="1" applyFont="1" applyFill="1" applyBorder="1" applyAlignment="1" applyProtection="1">
      <alignment horizontal="center"/>
      <protection hidden="1"/>
    </xf>
    <xf numFmtId="197" fontId="33" fillId="42" borderId="26" xfId="0" applyNumberFormat="1" applyFont="1" applyFill="1" applyBorder="1" applyAlignment="1" applyProtection="1">
      <alignment horizontal="center" vertical="center"/>
      <protection hidden="1"/>
    </xf>
    <xf numFmtId="2" fontId="33" fillId="27" borderId="10" xfId="0" applyNumberFormat="1" applyFont="1" applyFill="1" applyBorder="1" applyAlignment="1" applyProtection="1">
      <alignment horizontal="center"/>
      <protection hidden="1"/>
    </xf>
    <xf numFmtId="2" fontId="33" fillId="25" borderId="10" xfId="35" applyNumberFormat="1" applyFont="1" applyFill="1" applyBorder="1" applyAlignment="1" applyProtection="1">
      <alignment horizontal="center" vertical="center"/>
      <protection hidden="1"/>
    </xf>
    <xf numFmtId="0" fontId="33" fillId="42" borderId="10" xfId="0" applyFont="1" applyFill="1" applyBorder="1" applyAlignment="1" applyProtection="1">
      <alignment vertical="center" shrinkToFit="1"/>
      <protection hidden="1"/>
    </xf>
    <xf numFmtId="190" fontId="33" fillId="42" borderId="10" xfId="0" applyNumberFormat="1" applyFont="1" applyFill="1" applyBorder="1" applyProtection="1">
      <alignment vertical="center"/>
      <protection hidden="1"/>
    </xf>
    <xf numFmtId="191" fontId="33" fillId="42" borderId="10" xfId="35" applyNumberFormat="1" applyFont="1" applyFill="1" applyBorder="1" applyAlignment="1" applyProtection="1">
      <protection hidden="1"/>
    </xf>
    <xf numFmtId="0" fontId="33" fillId="42" borderId="10" xfId="0" applyNumberFormat="1" applyFont="1" applyFill="1" applyBorder="1" applyAlignment="1" applyProtection="1">
      <alignment horizontal="left" vertical="center"/>
      <protection hidden="1"/>
    </xf>
    <xf numFmtId="0" fontId="33" fillId="42" borderId="10" xfId="0" applyNumberFormat="1" applyFont="1" applyFill="1" applyBorder="1" applyAlignment="1" applyProtection="1">
      <alignment horizontal="left" vertical="center" shrinkToFit="1"/>
      <protection hidden="1"/>
    </xf>
    <xf numFmtId="197" fontId="33" fillId="42" borderId="26" xfId="35" applyNumberFormat="1" applyFont="1" applyFill="1" applyBorder="1" applyAlignment="1" applyProtection="1">
      <alignment horizontal="center" vertical="center"/>
      <protection hidden="1"/>
    </xf>
    <xf numFmtId="197" fontId="33" fillId="42" borderId="27" xfId="35" applyNumberFormat="1" applyFont="1" applyFill="1" applyBorder="1" applyAlignment="1" applyProtection="1">
      <alignment horizontal="center" vertical="center"/>
      <protection hidden="1"/>
    </xf>
    <xf numFmtId="49" fontId="33" fillId="42" borderId="10" xfId="0" applyNumberFormat="1" applyFont="1" applyFill="1" applyBorder="1" applyAlignment="1" applyProtection="1">
      <alignment horizontal="left" vertical="center"/>
      <protection hidden="1"/>
    </xf>
    <xf numFmtId="0" fontId="33" fillId="42" borderId="10" xfId="0" applyFont="1" applyFill="1" applyBorder="1" applyAlignment="1" applyProtection="1">
      <alignment horizontal="left" vertical="center" shrinkToFit="1"/>
      <protection hidden="1"/>
    </xf>
    <xf numFmtId="2" fontId="33" fillId="42" borderId="10" xfId="35" applyNumberFormat="1" applyFont="1" applyFill="1" applyBorder="1" applyAlignment="1" applyProtection="1">
      <alignment horizontal="center" vertical="center"/>
      <protection hidden="1"/>
    </xf>
    <xf numFmtId="2" fontId="33" fillId="42" borderId="26" xfId="35" applyNumberFormat="1" applyFont="1" applyFill="1" applyBorder="1" applyAlignment="1" applyProtection="1">
      <alignment horizontal="center" vertical="center"/>
      <protection hidden="1"/>
    </xf>
    <xf numFmtId="2" fontId="33" fillId="42" borderId="27" xfId="35" applyNumberFormat="1" applyFont="1" applyFill="1" applyBorder="1" applyAlignment="1" applyProtection="1">
      <alignment horizontal="center" vertical="center"/>
      <protection hidden="1"/>
    </xf>
    <xf numFmtId="178" fontId="33" fillId="42" borderId="10" xfId="35" applyNumberFormat="1" applyFont="1" applyFill="1" applyBorder="1" applyAlignment="1" applyProtection="1">
      <alignment horizontal="center" vertical="center"/>
      <protection hidden="1"/>
    </xf>
    <xf numFmtId="178" fontId="33" fillId="42" borderId="26" xfId="35" applyNumberFormat="1" applyFont="1" applyFill="1" applyBorder="1" applyAlignment="1" applyProtection="1">
      <alignment horizontal="center" vertical="center"/>
      <protection hidden="1"/>
    </xf>
    <xf numFmtId="178" fontId="33" fillId="42" borderId="27" xfId="35" applyNumberFormat="1" applyFont="1" applyFill="1" applyBorder="1" applyAlignment="1" applyProtection="1">
      <alignment horizontal="center" vertical="center"/>
      <protection hidden="1"/>
    </xf>
    <xf numFmtId="178" fontId="125" fillId="27" borderId="10" xfId="35" applyNumberFormat="1" applyFont="1" applyFill="1" applyBorder="1" applyAlignment="1" applyProtection="1">
      <alignment horizontal="center"/>
      <protection hidden="1"/>
    </xf>
    <xf numFmtId="178" fontId="125" fillId="27" borderId="27" xfId="35" applyNumberFormat="1" applyFont="1" applyFill="1" applyBorder="1" applyAlignment="1" applyProtection="1">
      <alignment horizontal="center"/>
      <protection hidden="1"/>
    </xf>
    <xf numFmtId="178" fontId="33" fillId="27" borderId="10" xfId="35" applyNumberFormat="1" applyFont="1" applyFill="1" applyBorder="1" applyAlignment="1" applyProtection="1">
      <alignment horizontal="center" vertical="center"/>
      <protection hidden="1"/>
    </xf>
    <xf numFmtId="178" fontId="33" fillId="27" borderId="26" xfId="35" applyNumberFormat="1" applyFont="1" applyFill="1" applyBorder="1" applyAlignment="1" applyProtection="1">
      <alignment horizontal="center" vertical="center"/>
      <protection hidden="1"/>
    </xf>
    <xf numFmtId="178" fontId="33" fillId="27" borderId="27" xfId="35" applyNumberFormat="1" applyFont="1" applyFill="1" applyBorder="1" applyAlignment="1" applyProtection="1">
      <alignment horizontal="center" vertical="center"/>
      <protection hidden="1"/>
    </xf>
    <xf numFmtId="178" fontId="156" fillId="27" borderId="10" xfId="35" applyNumberFormat="1" applyFont="1" applyFill="1" applyBorder="1" applyAlignment="1" applyProtection="1">
      <alignment horizontal="center" vertical="center"/>
      <protection hidden="1"/>
    </xf>
    <xf numFmtId="178" fontId="156" fillId="42" borderId="10" xfId="35" applyNumberFormat="1" applyFont="1" applyFill="1" applyBorder="1" applyAlignment="1" applyProtection="1">
      <alignment horizontal="center" vertical="center"/>
      <protection hidden="1"/>
    </xf>
    <xf numFmtId="197" fontId="125" fillId="27" borderId="10" xfId="35" applyNumberFormat="1" applyFont="1" applyFill="1" applyBorder="1" applyAlignment="1" applyProtection="1">
      <alignment horizontal="center" vertical="center"/>
      <protection hidden="1"/>
    </xf>
    <xf numFmtId="197" fontId="125" fillId="27" borderId="27" xfId="35" applyNumberFormat="1" applyFont="1" applyFill="1" applyBorder="1" applyAlignment="1" applyProtection="1">
      <alignment horizontal="center" vertical="center"/>
      <protection hidden="1"/>
    </xf>
    <xf numFmtId="2" fontId="125" fillId="27" borderId="10" xfId="35" applyNumberFormat="1" applyFont="1" applyFill="1" applyBorder="1" applyAlignment="1" applyProtection="1">
      <alignment horizontal="center" vertical="center"/>
      <protection hidden="1"/>
    </xf>
    <xf numFmtId="2" fontId="125" fillId="27" borderId="27" xfId="35" applyNumberFormat="1" applyFont="1" applyFill="1" applyBorder="1" applyAlignment="1" applyProtection="1">
      <alignment horizontal="center" vertical="center"/>
      <protection hidden="1"/>
    </xf>
    <xf numFmtId="179" fontId="125" fillId="27" borderId="26" xfId="0" applyNumberFormat="1" applyFont="1" applyFill="1" applyBorder="1" applyAlignment="1" applyProtection="1">
      <alignment horizontal="center" vertical="center"/>
      <protection hidden="1"/>
    </xf>
    <xf numFmtId="0" fontId="6" fillId="26" borderId="0" xfId="0" applyFont="1" applyFill="1">
      <alignment vertical="center"/>
    </xf>
    <xf numFmtId="179" fontId="33" fillId="27" borderId="26" xfId="0" applyNumberFormat="1" applyFont="1" applyFill="1" applyBorder="1" applyAlignment="1" applyProtection="1">
      <alignment horizontal="center" vertical="center"/>
      <protection hidden="1"/>
    </xf>
    <xf numFmtId="197" fontId="125" fillId="27" borderId="26" xfId="35" applyNumberFormat="1" applyFont="1" applyFill="1" applyBorder="1" applyAlignment="1" applyProtection="1">
      <alignment horizontal="center"/>
      <protection hidden="1"/>
    </xf>
    <xf numFmtId="2" fontId="125" fillId="27" borderId="26" xfId="35" applyNumberFormat="1" applyFont="1" applyFill="1" applyBorder="1" applyAlignment="1" applyProtection="1">
      <alignment horizontal="center"/>
      <protection hidden="1"/>
    </xf>
    <xf numFmtId="0" fontId="33" fillId="27" borderId="53" xfId="0" applyFont="1" applyFill="1" applyBorder="1" applyAlignment="1" applyProtection="1">
      <alignment vertical="center" shrinkToFit="1"/>
      <protection hidden="1"/>
    </xf>
    <xf numFmtId="0" fontId="33" fillId="42" borderId="53" xfId="0" applyNumberFormat="1" applyFont="1" applyFill="1" applyBorder="1" applyAlignment="1" applyProtection="1">
      <alignment horizontal="left" vertical="center"/>
      <protection hidden="1"/>
    </xf>
    <xf numFmtId="191" fontId="125" fillId="27" borderId="10" xfId="0" applyNumberFormat="1" applyFont="1" applyFill="1" applyBorder="1">
      <alignment vertical="center"/>
    </xf>
    <xf numFmtId="2"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protection hidden="1"/>
    </xf>
    <xf numFmtId="197" fontId="33" fillId="27" borderId="27" xfId="35" applyNumberFormat="1" applyFont="1" applyFill="1" applyBorder="1" applyAlignment="1" applyProtection="1">
      <alignment horizontal="center"/>
      <protection hidden="1"/>
    </xf>
    <xf numFmtId="2" fontId="33" fillId="27" borderId="10" xfId="35" applyNumberFormat="1" applyFont="1" applyFill="1" applyBorder="1" applyAlignment="1" applyProtection="1">
      <alignment horizontal="center"/>
      <protection hidden="1"/>
    </xf>
    <xf numFmtId="2" fontId="33" fillId="27" borderId="27" xfId="35" applyNumberFormat="1" applyFont="1" applyFill="1" applyBorder="1" applyAlignment="1" applyProtection="1">
      <alignment horizontal="center"/>
      <protection hidden="1"/>
    </xf>
    <xf numFmtId="0" fontId="23" fillId="31" borderId="10" xfId="0" applyNumberFormat="1" applyFont="1" applyFill="1" applyBorder="1" applyAlignment="1" applyProtection="1">
      <alignment horizontal="center" vertical="center"/>
      <protection hidden="1"/>
    </xf>
    <xf numFmtId="0" fontId="23" fillId="35" borderId="10" xfId="0" applyNumberFormat="1" applyFont="1" applyFill="1" applyBorder="1" applyAlignment="1" applyProtection="1">
      <alignment horizontal="center" vertical="center" shrinkToFit="1"/>
      <protection hidden="1"/>
    </xf>
    <xf numFmtId="197" fontId="125" fillId="35" borderId="10" xfId="35" applyNumberFormat="1" applyFont="1" applyFill="1" applyBorder="1" applyAlignment="1" applyProtection="1">
      <alignment horizontal="center" vertical="top"/>
      <protection hidden="1"/>
    </xf>
    <xf numFmtId="197" fontId="125" fillId="35" borderId="26" xfId="35" applyNumberFormat="1" applyFont="1" applyFill="1" applyBorder="1" applyAlignment="1" applyProtection="1">
      <alignment horizontal="center" vertical="top"/>
      <protection hidden="1"/>
    </xf>
    <xf numFmtId="197" fontId="125" fillId="35" borderId="27" xfId="0" applyNumberFormat="1" applyFont="1" applyFill="1" applyBorder="1" applyAlignment="1" applyProtection="1">
      <alignment horizontal="center" vertical="top"/>
      <protection hidden="1"/>
    </xf>
    <xf numFmtId="197" fontId="125" fillId="35" borderId="10" xfId="0" applyNumberFormat="1" applyFont="1" applyFill="1" applyBorder="1" applyAlignment="1" applyProtection="1">
      <alignment horizontal="center" vertical="top"/>
      <protection hidden="1"/>
    </xf>
    <xf numFmtId="190" fontId="125" fillId="31" borderId="10" xfId="35" applyNumberFormat="1" applyFont="1" applyFill="1" applyBorder="1" applyAlignment="1" applyProtection="1">
      <alignment horizontal="right" vertical="center"/>
      <protection hidden="1"/>
    </xf>
    <xf numFmtId="0" fontId="125" fillId="27" borderId="10" xfId="0" quotePrefix="1" applyNumberFormat="1" applyFont="1" applyFill="1" applyBorder="1" applyAlignment="1" applyProtection="1">
      <alignment horizontal="left" vertical="center"/>
      <protection hidden="1"/>
    </xf>
    <xf numFmtId="191" fontId="33" fillId="27" borderId="10" xfId="0" applyNumberFormat="1" applyFont="1" applyFill="1" applyBorder="1">
      <alignment vertical="center"/>
    </xf>
    <xf numFmtId="0" fontId="33" fillId="27" borderId="10" xfId="0" quotePrefix="1" applyNumberFormat="1" applyFont="1" applyFill="1" applyBorder="1" applyAlignment="1" applyProtection="1">
      <alignment horizontal="left" vertical="center"/>
      <protection hidden="1"/>
    </xf>
    <xf numFmtId="49" fontId="33" fillId="27" borderId="10" xfId="0" quotePrefix="1" applyNumberFormat="1" applyFont="1" applyFill="1" applyBorder="1" applyAlignment="1" applyProtection="1">
      <alignment horizontal="left" vertical="center"/>
      <protection hidden="1"/>
    </xf>
    <xf numFmtId="0" fontId="6" fillId="0" borderId="0" xfId="0" applyFont="1" applyFill="1" applyBorder="1">
      <alignment vertical="center"/>
    </xf>
    <xf numFmtId="0" fontId="125" fillId="31" borderId="10" xfId="0" applyNumberFormat="1" applyFont="1" applyFill="1" applyBorder="1" applyAlignment="1" applyProtection="1">
      <alignment vertical="center"/>
      <protection hidden="1"/>
    </xf>
    <xf numFmtId="197" fontId="125" fillId="31" borderId="26" xfId="35" applyNumberFormat="1" applyFont="1" applyFill="1" applyBorder="1" applyAlignment="1" applyProtection="1">
      <alignment horizontal="center" vertical="center"/>
      <protection hidden="1"/>
    </xf>
    <xf numFmtId="197" fontId="125" fillId="31" borderId="27" xfId="0" applyNumberFormat="1" applyFont="1" applyFill="1" applyBorder="1" applyAlignment="1" applyProtection="1">
      <alignment horizontal="center"/>
      <protection hidden="1"/>
    </xf>
    <xf numFmtId="197" fontId="125" fillId="31" borderId="10" xfId="0" applyNumberFormat="1" applyFont="1" applyFill="1" applyBorder="1" applyAlignment="1" applyProtection="1">
      <alignment horizontal="center"/>
      <protection hidden="1"/>
    </xf>
    <xf numFmtId="49" fontId="125" fillId="31" borderId="10" xfId="0" applyNumberFormat="1" applyFont="1" applyFill="1" applyBorder="1" applyAlignment="1" applyProtection="1">
      <alignment vertical="center"/>
      <protection hidden="1"/>
    </xf>
    <xf numFmtId="2" fontId="125" fillId="31" borderId="26" xfId="35" applyNumberFormat="1" applyFont="1" applyFill="1" applyBorder="1" applyAlignment="1" applyProtection="1">
      <alignment horizontal="center" vertical="center"/>
      <protection hidden="1"/>
    </xf>
    <xf numFmtId="2" fontId="125" fillId="31" borderId="27" xfId="0" applyNumberFormat="1" applyFont="1" applyFill="1" applyBorder="1" applyAlignment="1" applyProtection="1">
      <alignment horizontal="center"/>
      <protection hidden="1"/>
    </xf>
    <xf numFmtId="2" fontId="125" fillId="31" borderId="10" xfId="0" applyNumberFormat="1" applyFont="1" applyFill="1" applyBorder="1" applyAlignment="1" applyProtection="1">
      <alignment horizontal="center"/>
      <protection hidden="1"/>
    </xf>
    <xf numFmtId="197" fontId="125" fillId="27" borderId="27" xfId="0" applyNumberFormat="1" applyFont="1" applyFill="1" applyBorder="1" applyAlignment="1" applyProtection="1">
      <alignment horizontal="center"/>
      <protection hidden="1"/>
    </xf>
    <xf numFmtId="197" fontId="125" fillId="27" borderId="10" xfId="0" applyNumberFormat="1" applyFont="1" applyFill="1" applyBorder="1" applyAlignment="1" applyProtection="1">
      <alignment horizontal="center"/>
      <protection hidden="1"/>
    </xf>
    <xf numFmtId="2" fontId="125" fillId="27" borderId="27" xfId="0" applyNumberFormat="1" applyFont="1" applyFill="1" applyBorder="1" applyAlignment="1" applyProtection="1">
      <alignment horizontal="center"/>
      <protection hidden="1"/>
    </xf>
    <xf numFmtId="2" fontId="125" fillId="27" borderId="10" xfId="0" applyNumberFormat="1" applyFont="1" applyFill="1" applyBorder="1" applyAlignment="1" applyProtection="1">
      <alignment horizontal="center"/>
      <protection hidden="1"/>
    </xf>
    <xf numFmtId="197" fontId="33" fillId="27" borderId="27" xfId="0" applyNumberFormat="1" applyFont="1" applyFill="1" applyBorder="1" applyAlignment="1" applyProtection="1">
      <alignment horizontal="center"/>
      <protection hidden="1"/>
    </xf>
    <xf numFmtId="2" fontId="33" fillId="27" borderId="27" xfId="0" applyNumberFormat="1" applyFont="1" applyFill="1" applyBorder="1" applyAlignment="1" applyProtection="1">
      <alignment horizontal="center"/>
      <protection hidden="1"/>
    </xf>
    <xf numFmtId="210" fontId="125" fillId="27" borderId="27" xfId="0" applyNumberFormat="1" applyFont="1" applyFill="1" applyBorder="1" applyAlignment="1" applyProtection="1">
      <alignment horizontal="center"/>
      <protection hidden="1"/>
    </xf>
    <xf numFmtId="49" fontId="125" fillId="27" borderId="10" xfId="0" applyNumberFormat="1" applyFont="1" applyFill="1" applyBorder="1" applyAlignment="1" applyProtection="1">
      <alignment vertical="center"/>
      <protection hidden="1"/>
    </xf>
    <xf numFmtId="49" fontId="33" fillId="27" borderId="10" xfId="0" applyNumberFormat="1" applyFont="1" applyFill="1" applyBorder="1" applyAlignment="1" applyProtection="1">
      <alignment vertical="center"/>
      <protection hidden="1"/>
    </xf>
    <xf numFmtId="0" fontId="33" fillId="27" borderId="10" xfId="0" applyNumberFormat="1" applyFont="1" applyFill="1" applyBorder="1" applyAlignment="1" applyProtection="1">
      <alignment vertical="center"/>
      <protection hidden="1"/>
    </xf>
    <xf numFmtId="0" fontId="33"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7" fillId="0" borderId="0" xfId="46" applyFont="1" applyFill="1" applyProtection="1">
      <protection hidden="1"/>
    </xf>
    <xf numFmtId="0" fontId="165" fillId="0" borderId="0" xfId="0" applyFont="1">
      <alignment vertical="center"/>
    </xf>
    <xf numFmtId="0" fontId="165" fillId="0" borderId="0" xfId="0" applyFont="1" applyFill="1">
      <alignment vertical="center"/>
    </xf>
    <xf numFmtId="0" fontId="165" fillId="0" borderId="0" xfId="0" applyFont="1" applyBorder="1" applyAlignment="1">
      <alignment horizontal="left" vertical="center" wrapText="1"/>
    </xf>
    <xf numFmtId="0" fontId="165" fillId="0" borderId="0" xfId="0" applyFont="1" applyAlignment="1" applyProtection="1">
      <alignment vertical="center"/>
      <protection hidden="1"/>
    </xf>
    <xf numFmtId="0" fontId="165" fillId="27" borderId="16" xfId="0" applyFont="1" applyFill="1" applyBorder="1" applyAlignment="1" applyProtection="1">
      <alignment horizontal="center" vertical="center" wrapText="1"/>
      <protection hidden="1"/>
    </xf>
    <xf numFmtId="0" fontId="165" fillId="27" borderId="13" xfId="0" applyFont="1" applyFill="1" applyBorder="1" applyAlignment="1" applyProtection="1">
      <alignment horizontal="left" vertical="top" wrapText="1"/>
      <protection hidden="1"/>
    </xf>
    <xf numFmtId="0" fontId="165" fillId="27" borderId="13" xfId="0" applyFont="1" applyFill="1" applyBorder="1" applyAlignment="1" applyProtection="1">
      <alignment horizontal="left" vertical="center" wrapText="1"/>
      <protection hidden="1"/>
    </xf>
    <xf numFmtId="0" fontId="165" fillId="27" borderId="179" xfId="0" applyFont="1" applyFill="1" applyBorder="1" applyAlignment="1" applyProtection="1">
      <alignment horizontal="center" vertical="center" wrapText="1"/>
      <protection hidden="1"/>
    </xf>
    <xf numFmtId="0" fontId="165" fillId="27" borderId="11" xfId="0" applyFont="1" applyFill="1" applyBorder="1" applyAlignment="1" applyProtection="1">
      <alignment horizontal="center" vertical="center" wrapText="1"/>
      <protection hidden="1"/>
    </xf>
    <xf numFmtId="0" fontId="165" fillId="27" borderId="169" xfId="0" applyFont="1" applyFill="1" applyBorder="1" applyAlignment="1" applyProtection="1">
      <alignment horizontal="center" vertical="center" wrapText="1"/>
      <protection hidden="1"/>
    </xf>
    <xf numFmtId="0" fontId="165" fillId="27" borderId="173" xfId="0" applyFont="1" applyFill="1" applyBorder="1" applyAlignment="1" applyProtection="1">
      <alignment horizontal="left" vertical="top" wrapText="1"/>
      <protection hidden="1"/>
    </xf>
    <xf numFmtId="0" fontId="165" fillId="27" borderId="173" xfId="0" applyFont="1" applyFill="1" applyBorder="1" applyAlignment="1" applyProtection="1">
      <alignment horizontal="left" vertical="center" wrapText="1"/>
      <protection hidden="1"/>
    </xf>
    <xf numFmtId="0" fontId="165" fillId="0" borderId="0" xfId="0" applyFont="1" applyAlignment="1">
      <alignment vertical="top"/>
    </xf>
    <xf numFmtId="0" fontId="165" fillId="27" borderId="50" xfId="0" applyFont="1" applyFill="1" applyBorder="1">
      <alignment vertical="center"/>
    </xf>
    <xf numFmtId="0" fontId="165" fillId="27" borderId="167" xfId="0" applyFont="1" applyFill="1" applyBorder="1" applyAlignment="1">
      <alignment vertical="center"/>
    </xf>
    <xf numFmtId="0" fontId="165" fillId="27" borderId="87" xfId="0" applyFont="1" applyFill="1" applyBorder="1" applyAlignment="1">
      <alignment vertical="center"/>
    </xf>
    <xf numFmtId="0" fontId="165" fillId="27" borderId="167" xfId="0" applyFont="1" applyFill="1" applyBorder="1" applyAlignment="1">
      <alignment vertical="top"/>
    </xf>
    <xf numFmtId="0" fontId="165" fillId="27" borderId="168" xfId="0" applyFont="1" applyFill="1" applyBorder="1" applyAlignment="1">
      <alignment vertical="center"/>
    </xf>
    <xf numFmtId="0" fontId="165" fillId="27" borderId="13" xfId="0" applyFont="1" applyFill="1" applyBorder="1" applyAlignment="1">
      <alignment vertical="center"/>
    </xf>
    <xf numFmtId="0" fontId="165" fillId="27" borderId="13" xfId="0" applyFont="1" applyFill="1" applyBorder="1" applyAlignment="1">
      <alignment vertical="top"/>
    </xf>
    <xf numFmtId="0" fontId="165" fillId="27" borderId="14" xfId="0" applyFont="1" applyFill="1" applyBorder="1" applyAlignment="1">
      <alignment vertical="center"/>
    </xf>
    <xf numFmtId="0" fontId="165" fillId="27" borderId="173" xfId="0" applyFont="1" applyFill="1" applyBorder="1" applyAlignment="1">
      <alignment vertical="center"/>
    </xf>
    <xf numFmtId="0" fontId="165" fillId="27" borderId="173" xfId="0" applyFont="1" applyFill="1" applyBorder="1" applyAlignment="1">
      <alignment vertical="top"/>
    </xf>
    <xf numFmtId="0" fontId="165" fillId="27" borderId="172" xfId="0" applyFont="1" applyFill="1" applyBorder="1" applyAlignment="1">
      <alignment vertical="center"/>
    </xf>
    <xf numFmtId="0" fontId="165" fillId="0" borderId="0" xfId="0" applyFont="1" applyFill="1" applyAlignment="1" applyProtection="1">
      <alignment vertical="center"/>
      <protection hidden="1"/>
    </xf>
    <xf numFmtId="0" fontId="165" fillId="0" borderId="0" xfId="0" applyFont="1" applyFill="1" applyProtection="1">
      <alignment vertical="center"/>
    </xf>
    <xf numFmtId="0" fontId="48" fillId="0" borderId="0" xfId="0" applyFont="1" applyFill="1" applyAlignment="1" applyProtection="1">
      <alignment horizontal="right" vertical="center"/>
      <protection hidden="1"/>
    </xf>
    <xf numFmtId="0" fontId="165" fillId="27" borderId="13" xfId="0" applyFont="1" applyFill="1" applyBorder="1" applyAlignment="1">
      <alignment horizontal="left" vertical="center"/>
    </xf>
    <xf numFmtId="0" fontId="165" fillId="27" borderId="173" xfId="0" applyFont="1" applyFill="1" applyBorder="1" applyAlignment="1">
      <alignment horizontal="left" vertical="center"/>
    </xf>
    <xf numFmtId="0" fontId="165" fillId="0" borderId="57" xfId="0" applyFont="1" applyBorder="1" applyAlignment="1">
      <alignment horizontal="left" vertical="center" wrapText="1"/>
    </xf>
    <xf numFmtId="177" fontId="28" fillId="0" borderId="0" xfId="0" applyNumberFormat="1" applyFont="1" applyFill="1" applyBorder="1" applyAlignment="1" applyProtection="1">
      <alignment horizontal="justify" vertical="center"/>
      <protection hidden="1"/>
    </xf>
    <xf numFmtId="0" fontId="165" fillId="27" borderId="16" xfId="0" applyFont="1" applyFill="1" applyBorder="1" applyAlignment="1">
      <alignment horizontal="center" vertical="center" wrapText="1"/>
    </xf>
    <xf numFmtId="0" fontId="165" fillId="27" borderId="11" xfId="0" applyFont="1" applyFill="1" applyBorder="1" applyAlignment="1">
      <alignment horizontal="center" vertical="center" wrapText="1"/>
    </xf>
    <xf numFmtId="0" fontId="165" fillId="27" borderId="170" xfId="0" applyFont="1" applyFill="1" applyBorder="1" applyAlignment="1">
      <alignment horizontal="center" vertical="center" wrapText="1"/>
    </xf>
    <xf numFmtId="0" fontId="165" fillId="0" borderId="0" xfId="0" applyFont="1" applyProtection="1">
      <alignment vertical="center"/>
    </xf>
    <xf numFmtId="0" fontId="165" fillId="0" borderId="0" xfId="0" applyFont="1" applyBorder="1" applyAlignment="1">
      <alignment vertical="center" wrapText="1"/>
    </xf>
    <xf numFmtId="203" fontId="26" fillId="44" borderId="146" xfId="0" applyNumberFormat="1" applyFont="1" applyFill="1" applyBorder="1" applyAlignment="1" applyProtection="1">
      <alignment horizontal="center" vertical="center"/>
      <protection hidden="1"/>
    </xf>
    <xf numFmtId="203" fontId="26" fillId="31" borderId="146"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left" vertical="center"/>
      <protection hidden="1"/>
    </xf>
    <xf numFmtId="0" fontId="125" fillId="27" borderId="50" xfId="0" applyFont="1" applyFill="1" applyBorder="1" applyAlignment="1" applyProtection="1">
      <alignment horizontal="right" vertical="center"/>
      <protection hidden="1"/>
    </xf>
    <xf numFmtId="197" fontId="166" fillId="27" borderId="10" xfId="35" applyNumberFormat="1" applyFont="1" applyFill="1" applyBorder="1" applyAlignment="1" applyProtection="1">
      <alignment horizontal="center" vertical="center"/>
      <protection hidden="1"/>
    </xf>
    <xf numFmtId="2" fontId="166" fillId="27" borderId="27" xfId="35" applyNumberFormat="1" applyFont="1" applyFill="1" applyBorder="1" applyAlignment="1" applyProtection="1">
      <alignment horizontal="center" vertical="center"/>
      <protection hidden="1"/>
    </xf>
    <xf numFmtId="2" fontId="166" fillId="27" borderId="10" xfId="35" applyNumberFormat="1" applyFont="1" applyFill="1" applyBorder="1" applyAlignment="1" applyProtection="1">
      <alignment horizontal="center" vertical="center"/>
      <protection hidden="1"/>
    </xf>
    <xf numFmtId="202" fontId="28" fillId="0" borderId="17" xfId="35" applyNumberFormat="1" applyFont="1" applyFill="1" applyBorder="1" applyAlignment="1" applyProtection="1">
      <alignment horizontal="center" vertical="center"/>
      <protection hidden="1"/>
    </xf>
    <xf numFmtId="203" fontId="26" fillId="31" borderId="92" xfId="0" applyNumberFormat="1"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wrapText="1"/>
      <protection hidden="1"/>
    </xf>
    <xf numFmtId="0" fontId="28" fillId="27" borderId="53" xfId="0" quotePrefix="1" applyNumberFormat="1" applyFont="1" applyFill="1" applyBorder="1" applyAlignment="1" applyProtection="1">
      <alignment vertical="center"/>
      <protection hidden="1"/>
    </xf>
    <xf numFmtId="0" fontId="6" fillId="27" borderId="72" xfId="0" applyFont="1" applyFill="1" applyBorder="1" applyAlignment="1" applyProtection="1"/>
    <xf numFmtId="0" fontId="45" fillId="27" borderId="73" xfId="0" applyFont="1" applyFill="1" applyBorder="1" applyAlignment="1" applyProtection="1"/>
    <xf numFmtId="0" fontId="33" fillId="27" borderId="73" xfId="0" applyFont="1" applyFill="1" applyBorder="1" applyProtection="1">
      <alignment vertical="center"/>
    </xf>
    <xf numFmtId="0" fontId="0" fillId="27" borderId="73" xfId="0" applyFill="1" applyBorder="1" applyProtection="1">
      <alignment vertical="center"/>
    </xf>
    <xf numFmtId="0" fontId="33" fillId="27" borderId="73" xfId="0" applyFont="1" applyFill="1" applyBorder="1" applyAlignment="1" applyProtection="1">
      <alignment horizontal="right" vertical="center"/>
    </xf>
    <xf numFmtId="0" fontId="33" fillId="27" borderId="73" xfId="0" applyFont="1" applyFill="1" applyBorder="1" applyAlignment="1" applyProtection="1">
      <alignment vertical="center"/>
    </xf>
    <xf numFmtId="0" fontId="6" fillId="27" borderId="73" xfId="0" applyFont="1" applyFill="1" applyBorder="1" applyAlignment="1" applyProtection="1">
      <alignment horizontal="right"/>
    </xf>
    <xf numFmtId="0" fontId="6" fillId="27" borderId="73" xfId="0" applyFont="1" applyFill="1" applyBorder="1" applyAlignment="1" applyProtection="1"/>
    <xf numFmtId="0" fontId="33" fillId="27" borderId="73" xfId="0" applyFont="1" applyFill="1" applyBorder="1" applyAlignment="1" applyProtection="1"/>
    <xf numFmtId="0" fontId="0" fillId="27" borderId="61" xfId="0" applyFill="1" applyBorder="1" applyProtection="1">
      <alignment vertical="center"/>
    </xf>
    <xf numFmtId="0" fontId="125" fillId="27" borderId="0" xfId="0" applyFont="1" applyFill="1" applyBorder="1" applyProtection="1">
      <alignment vertical="center"/>
    </xf>
    <xf numFmtId="38" fontId="33" fillId="41" borderId="155" xfId="35" applyFont="1" applyFill="1" applyBorder="1" applyAlignment="1" applyProtection="1">
      <alignment horizontal="right" vertical="center"/>
      <protection locked="0"/>
    </xf>
    <xf numFmtId="38" fontId="33" fillId="41" borderId="146" xfId="35" applyFont="1" applyFill="1" applyBorder="1" applyAlignment="1" applyProtection="1">
      <alignment horizontal="center" vertical="center"/>
      <protection locked="0"/>
    </xf>
    <xf numFmtId="38" fontId="33" fillId="41" borderId="141" xfId="35" applyFont="1" applyFill="1" applyBorder="1" applyAlignment="1" applyProtection="1">
      <alignment horizontal="right" vertical="center"/>
      <protection locked="0"/>
    </xf>
    <xf numFmtId="0" fontId="125" fillId="27" borderId="0" xfId="0" applyFont="1" applyFill="1" applyBorder="1" applyAlignment="1" applyProtection="1">
      <alignment vertical="center"/>
    </xf>
    <xf numFmtId="0" fontId="33" fillId="27" borderId="63" xfId="0" applyFont="1" applyFill="1" applyBorder="1" applyAlignment="1" applyProtection="1">
      <alignment horizontal="right" vertical="center"/>
    </xf>
    <xf numFmtId="38" fontId="33" fillId="41" borderId="123" xfId="35" applyFont="1" applyFill="1" applyBorder="1" applyAlignment="1" applyProtection="1">
      <alignment horizontal="right" vertical="center"/>
      <protection locked="0"/>
    </xf>
    <xf numFmtId="0" fontId="33" fillId="27" borderId="62" xfId="0" applyFont="1" applyFill="1" applyBorder="1" applyProtection="1">
      <alignment vertical="center"/>
    </xf>
    <xf numFmtId="0" fontId="33" fillId="27" borderId="0" xfId="0" applyFont="1" applyFill="1" applyBorder="1" applyProtection="1">
      <alignment vertical="center"/>
    </xf>
    <xf numFmtId="0" fontId="33" fillId="27" borderId="0" xfId="44" applyFont="1" applyFill="1" applyBorder="1" applyAlignment="1" applyProtection="1">
      <alignment horizontal="right"/>
    </xf>
    <xf numFmtId="0" fontId="33" fillId="27" borderId="0" xfId="44" applyFont="1" applyFill="1" applyBorder="1" applyAlignment="1" applyProtection="1"/>
    <xf numFmtId="0" fontId="33" fillId="27" borderId="62" xfId="44" applyFont="1" applyFill="1" applyBorder="1" applyAlignment="1" applyProtection="1">
      <alignment vertical="center"/>
    </xf>
    <xf numFmtId="0" fontId="33" fillId="27" borderId="0" xfId="0" applyFont="1" applyFill="1" applyBorder="1" applyAlignment="1" applyProtection="1">
      <alignment horizontal="right" vertical="center"/>
    </xf>
    <xf numFmtId="0" fontId="33" fillId="27" borderId="0" xfId="0" applyFont="1" applyFill="1" applyBorder="1" applyAlignment="1" applyProtection="1">
      <alignment horizontal="left" vertical="center"/>
    </xf>
    <xf numFmtId="178" fontId="33" fillId="27" borderId="10" xfId="28" applyNumberFormat="1" applyFont="1" applyFill="1" applyBorder="1" applyProtection="1">
      <alignment vertical="center"/>
    </xf>
    <xf numFmtId="40" fontId="33" fillId="27" borderId="10" xfId="0" applyNumberFormat="1" applyFont="1" applyFill="1" applyBorder="1" applyProtection="1">
      <alignment vertical="center"/>
    </xf>
    <xf numFmtId="178" fontId="33" fillId="27" borderId="0" xfId="0" applyNumberFormat="1" applyFont="1" applyFill="1" applyBorder="1" applyAlignment="1" applyProtection="1">
      <alignment horizontal="left" vertical="center"/>
    </xf>
    <xf numFmtId="40" fontId="33" fillId="27" borderId="154" xfId="35" applyNumberFormat="1" applyFont="1" applyFill="1" applyBorder="1" applyAlignment="1" applyProtection="1">
      <alignment horizontal="right" vertical="center"/>
    </xf>
    <xf numFmtId="38" fontId="33" fillId="27" borderId="10" xfId="35" applyFont="1" applyFill="1" applyBorder="1" applyProtection="1">
      <alignment vertical="center"/>
    </xf>
    <xf numFmtId="40" fontId="33" fillId="27" borderId="62" xfId="0" applyNumberFormat="1" applyFont="1" applyFill="1" applyBorder="1" applyProtection="1">
      <alignment vertical="center"/>
    </xf>
    <xf numFmtId="213" fontId="33" fillId="27" borderId="0" xfId="0" applyNumberFormat="1" applyFont="1" applyFill="1" applyBorder="1" applyProtection="1">
      <alignment vertical="center"/>
    </xf>
    <xf numFmtId="40" fontId="33" fillId="27" borderId="0" xfId="0" applyNumberFormat="1" applyFont="1" applyFill="1" applyBorder="1" applyProtection="1">
      <alignment vertical="center"/>
    </xf>
    <xf numFmtId="178" fontId="33" fillId="27" borderId="63" xfId="0" applyNumberFormat="1" applyFont="1" applyFill="1" applyBorder="1" applyAlignment="1" applyProtection="1">
      <alignment horizontal="right" vertical="center"/>
    </xf>
    <xf numFmtId="178" fontId="40" fillId="27" borderId="10" xfId="44" applyNumberFormat="1" applyFont="1" applyFill="1" applyBorder="1" applyAlignment="1" applyProtection="1">
      <alignment vertical="center"/>
    </xf>
    <xf numFmtId="190" fontId="40" fillId="27" borderId="10" xfId="44" applyNumberFormat="1" applyFont="1" applyFill="1" applyBorder="1" applyAlignment="1" applyProtection="1">
      <alignment vertical="center"/>
    </xf>
    <xf numFmtId="177" fontId="33" fillId="27" borderId="10" xfId="44" applyNumberFormat="1" applyFont="1" applyFill="1" applyBorder="1" applyAlignment="1" applyProtection="1">
      <alignment horizontal="center" vertical="center"/>
    </xf>
    <xf numFmtId="190" fontId="33" fillId="27" borderId="10" xfId="28" applyNumberFormat="1" applyFont="1" applyFill="1" applyBorder="1" applyAlignment="1" applyProtection="1">
      <alignment horizontal="center" vertical="center"/>
    </xf>
    <xf numFmtId="0" fontId="40" fillId="27" borderId="0" xfId="44" applyFont="1" applyFill="1" applyBorder="1" applyAlignment="1" applyProtection="1">
      <alignment horizontal="left" vertical="center"/>
    </xf>
    <xf numFmtId="0" fontId="28" fillId="27" borderId="184" xfId="0" applyFont="1" applyFill="1" applyBorder="1" applyAlignment="1">
      <alignment vertical="center"/>
    </xf>
    <xf numFmtId="0" fontId="33" fillId="27" borderId="0" xfId="0" applyFont="1" applyFill="1" applyBorder="1" applyAlignment="1" applyProtection="1">
      <alignment horizontal="center" vertical="center"/>
      <protection hidden="1"/>
    </xf>
    <xf numFmtId="0" fontId="33" fillId="27" borderId="24" xfId="0" applyFont="1" applyFill="1" applyBorder="1" applyAlignment="1" applyProtection="1">
      <alignment horizontal="right" vertical="center"/>
      <protection hidden="1"/>
    </xf>
    <xf numFmtId="178" fontId="33" fillId="27" borderId="28" xfId="0" applyNumberFormat="1" applyFont="1" applyFill="1" applyBorder="1" applyProtection="1">
      <alignment vertical="center"/>
      <protection hidden="1"/>
    </xf>
    <xf numFmtId="0" fontId="6" fillId="27" borderId="0" xfId="45" applyFont="1" applyFill="1" applyBorder="1" applyAlignment="1" applyProtection="1">
      <alignment vertical="center"/>
      <protection locked="0"/>
    </xf>
    <xf numFmtId="181" fontId="28" fillId="27" borderId="166" xfId="0" applyNumberFormat="1" applyFont="1" applyFill="1" applyBorder="1" applyAlignment="1" applyProtection="1">
      <alignment vertical="center"/>
      <protection hidden="1"/>
    </xf>
    <xf numFmtId="181" fontId="28" fillId="27" borderId="14" xfId="0" applyNumberFormat="1" applyFont="1" applyFill="1" applyBorder="1" applyAlignment="1" applyProtection="1">
      <alignment vertical="center"/>
      <protection hidden="1"/>
    </xf>
    <xf numFmtId="199" fontId="26" fillId="31" borderId="10" xfId="0" applyNumberFormat="1" applyFont="1" applyFill="1" applyBorder="1" applyAlignment="1" applyProtection="1">
      <alignment horizontal="center" vertical="center"/>
      <protection hidden="1"/>
    </xf>
    <xf numFmtId="179" fontId="28" fillId="31" borderId="53" xfId="0" applyNumberFormat="1" applyFont="1" applyFill="1" applyBorder="1" applyAlignment="1" applyProtection="1">
      <alignment horizontal="left" vertical="center"/>
      <protection hidden="1"/>
    </xf>
    <xf numFmtId="194" fontId="26" fillId="27" borderId="190" xfId="0" applyNumberFormat="1" applyFont="1" applyFill="1" applyBorder="1" applyAlignment="1" applyProtection="1">
      <alignment horizontal="center" vertical="center"/>
      <protection locked="0" hidden="1"/>
    </xf>
    <xf numFmtId="194" fontId="26" fillId="27" borderId="115" xfId="0" applyNumberFormat="1" applyFont="1" applyFill="1" applyBorder="1" applyAlignment="1" applyProtection="1">
      <alignment horizontal="center" vertical="center"/>
      <protection locked="0" hidden="1"/>
    </xf>
    <xf numFmtId="0" fontId="26" fillId="27" borderId="26" xfId="0" applyNumberFormat="1" applyFont="1" applyFill="1" applyBorder="1" applyAlignment="1" applyProtection="1">
      <alignment horizontal="centerContinuous" vertical="center"/>
      <protection hidden="1"/>
    </xf>
    <xf numFmtId="0" fontId="28" fillId="27" borderId="55" xfId="0" applyNumberFormat="1" applyFont="1" applyFill="1" applyBorder="1" applyAlignment="1" applyProtection="1">
      <alignment horizontal="centerContinuous" vertical="center"/>
      <protection hidden="1"/>
    </xf>
    <xf numFmtId="0" fontId="28" fillId="27" borderId="204" xfId="0" applyFont="1" applyFill="1" applyBorder="1" applyAlignment="1" applyProtection="1">
      <alignment horizontal="left" vertical="center"/>
      <protection hidden="1"/>
    </xf>
    <xf numFmtId="180" fontId="28" fillId="31" borderId="26" xfId="0" applyNumberFormat="1" applyFont="1" applyFill="1" applyBorder="1" applyAlignment="1" applyProtection="1">
      <alignment horizontal="centerContinuous" vertical="center"/>
      <protection hidden="1"/>
    </xf>
    <xf numFmtId="0" fontId="28" fillId="27" borderId="183" xfId="0" applyFont="1" applyFill="1" applyBorder="1" applyAlignment="1">
      <alignment vertical="center"/>
    </xf>
    <xf numFmtId="0" fontId="28" fillId="27" borderId="183" xfId="0" applyFont="1" applyFill="1" applyBorder="1" applyAlignment="1" applyProtection="1">
      <alignment horizontal="left" vertical="center"/>
      <protection hidden="1"/>
    </xf>
    <xf numFmtId="0" fontId="165" fillId="27" borderId="183" xfId="0" applyFont="1" applyFill="1" applyBorder="1" applyAlignment="1">
      <alignment vertical="center"/>
    </xf>
    <xf numFmtId="0" fontId="165" fillId="27" borderId="183" xfId="0" applyFont="1" applyFill="1" applyBorder="1" applyAlignment="1">
      <alignment vertical="top"/>
    </xf>
    <xf numFmtId="0" fontId="165" fillId="27" borderId="184" xfId="0" applyFont="1" applyFill="1" applyBorder="1" applyAlignment="1">
      <alignment vertical="center"/>
    </xf>
    <xf numFmtId="0" fontId="28" fillId="27" borderId="173" xfId="0" applyFont="1" applyFill="1" applyBorder="1" applyAlignment="1" applyProtection="1">
      <alignment vertical="center"/>
    </xf>
    <xf numFmtId="0" fontId="167" fillId="27" borderId="0" xfId="0" applyFont="1" applyFill="1" applyBorder="1" applyProtection="1">
      <alignment vertical="center"/>
    </xf>
    <xf numFmtId="177" fontId="28" fillId="27" borderId="167" xfId="0" applyNumberFormat="1" applyFont="1" applyFill="1" applyBorder="1" applyAlignment="1" applyProtection="1">
      <alignment vertical="center" wrapText="1"/>
      <protection hidden="1"/>
    </xf>
    <xf numFmtId="0" fontId="28" fillId="27" borderId="177" xfId="0" applyFont="1" applyFill="1" applyBorder="1" applyAlignment="1" applyProtection="1">
      <alignment horizontal="left" vertical="center"/>
      <protection hidden="1"/>
    </xf>
    <xf numFmtId="193" fontId="28" fillId="31" borderId="27" xfId="0" applyNumberFormat="1" applyFont="1" applyFill="1" applyBorder="1" applyAlignment="1" applyProtection="1">
      <alignment horizontal="center" vertical="center"/>
      <protection hidden="1"/>
    </xf>
    <xf numFmtId="219" fontId="26" fillId="31" borderId="146" xfId="0" applyNumberFormat="1"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45"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152" fillId="29" borderId="0" xfId="0" applyFont="1" applyFill="1" applyAlignment="1" applyProtection="1">
      <alignment vertical="center"/>
      <protection hidden="1"/>
    </xf>
    <xf numFmtId="0" fontId="45" fillId="29" borderId="0" xfId="0" applyFont="1" applyFill="1" applyAlignment="1" applyProtection="1">
      <alignment horizontal="left" vertical="center"/>
      <protection hidden="1"/>
    </xf>
    <xf numFmtId="0" fontId="151" fillId="29" borderId="0" xfId="0" applyFont="1" applyFill="1" applyAlignment="1" applyProtection="1">
      <alignment vertical="center"/>
    </xf>
    <xf numFmtId="0" fontId="28" fillId="27" borderId="87" xfId="0" applyFont="1" applyFill="1" applyBorder="1" applyAlignment="1" applyProtection="1">
      <alignment horizontal="left" vertical="center"/>
      <protection hidden="1"/>
    </xf>
    <xf numFmtId="0" fontId="28" fillId="27" borderId="198" xfId="0" applyFont="1" applyFill="1" applyBorder="1" applyAlignment="1" applyProtection="1">
      <alignment horizontal="left" vertical="center"/>
      <protection hidden="1"/>
    </xf>
    <xf numFmtId="0" fontId="28" fillId="27" borderId="12" xfId="0" applyFont="1" applyFill="1" applyBorder="1" applyAlignment="1" applyProtection="1">
      <alignment vertical="center"/>
      <protection hidden="1"/>
    </xf>
    <xf numFmtId="0" fontId="6" fillId="27" borderId="13" xfId="0" applyFont="1" applyFill="1" applyBorder="1" applyAlignment="1">
      <alignment vertical="center"/>
    </xf>
    <xf numFmtId="0" fontId="6" fillId="27" borderId="14" xfId="0" applyFont="1" applyFill="1" applyBorder="1" applyAlignment="1">
      <alignment vertical="center"/>
    </xf>
    <xf numFmtId="0" fontId="151" fillId="29" borderId="0" xfId="0" applyFont="1" applyFill="1" applyAlignment="1" applyProtection="1">
      <alignment horizontal="left" vertical="center"/>
      <protection hidden="1"/>
    </xf>
    <xf numFmtId="0" fontId="26" fillId="29" borderId="0" xfId="0" applyFont="1" applyFill="1" applyProtection="1">
      <alignment vertical="center"/>
    </xf>
    <xf numFmtId="0" fontId="28" fillId="29" borderId="0" xfId="0" applyFont="1" applyFill="1" applyProtection="1">
      <alignment vertical="center"/>
    </xf>
    <xf numFmtId="0" fontId="37" fillId="29" borderId="0" xfId="0" applyFont="1" applyFill="1" applyBorder="1" applyAlignment="1" applyProtection="1">
      <alignment horizontal="justify"/>
      <protection hidden="1"/>
    </xf>
    <xf numFmtId="220" fontId="125" fillId="27" borderId="10" xfId="35" applyNumberFormat="1" applyFont="1" applyFill="1" applyBorder="1" applyAlignment="1" applyProtection="1">
      <alignment horizontal="center" vertical="center"/>
      <protection hidden="1"/>
    </xf>
    <xf numFmtId="2" fontId="33" fillId="47" borderId="10" xfId="35" applyNumberFormat="1" applyFont="1" applyFill="1" applyBorder="1" applyAlignment="1" applyProtection="1">
      <alignment horizontal="center" vertical="center"/>
      <protection hidden="1"/>
    </xf>
    <xf numFmtId="177" fontId="28" fillId="27" borderId="171" xfId="0" applyNumberFormat="1" applyFont="1" applyFill="1" applyBorder="1" applyAlignment="1" applyProtection="1">
      <alignment vertical="center"/>
      <protection hidden="1"/>
    </xf>
    <xf numFmtId="0" fontId="28" fillId="31" borderId="89" xfId="0" applyFont="1" applyFill="1" applyBorder="1" applyAlignment="1" applyProtection="1">
      <alignment horizontal="centerContinuous" vertical="center"/>
      <protection hidden="1"/>
    </xf>
    <xf numFmtId="188" fontId="33" fillId="41" borderId="155" xfId="35" applyNumberFormat="1" applyFont="1" applyFill="1" applyBorder="1" applyAlignment="1" applyProtection="1">
      <alignment horizontal="right" vertical="center"/>
      <protection locked="0"/>
    </xf>
    <xf numFmtId="188" fontId="33" fillId="41" borderId="123" xfId="35" applyNumberFormat="1" applyFont="1" applyFill="1" applyBorder="1" applyAlignment="1" applyProtection="1">
      <alignment horizontal="right" vertical="center"/>
      <protection locked="0"/>
    </xf>
    <xf numFmtId="188" fontId="33" fillId="41" borderId="141" xfId="35" applyNumberFormat="1" applyFont="1" applyFill="1" applyBorder="1" applyAlignment="1" applyProtection="1">
      <alignment horizontal="right" vertical="center"/>
      <protection locked="0"/>
    </xf>
    <xf numFmtId="0" fontId="28" fillId="31" borderId="50" xfId="0" applyFont="1" applyFill="1" applyBorder="1" applyAlignment="1" applyProtection="1">
      <alignment horizontal="right" vertical="center"/>
      <protection hidden="1"/>
    </xf>
    <xf numFmtId="178" fontId="33" fillId="27" borderId="10" xfId="44" applyNumberFormat="1" applyFont="1" applyFill="1" applyBorder="1" applyAlignment="1" applyProtection="1">
      <alignment horizontal="right" vertical="center"/>
    </xf>
    <xf numFmtId="0" fontId="0" fillId="0" borderId="0" xfId="0" quotePrefix="1">
      <alignment vertical="center"/>
    </xf>
    <xf numFmtId="0" fontId="125" fillId="27" borderId="0" xfId="0" applyFont="1" applyFill="1" applyBorder="1" applyAlignment="1" applyProtection="1">
      <alignment horizontal="center" vertical="center"/>
    </xf>
    <xf numFmtId="179" fontId="28" fillId="31" borderId="10" xfId="0" applyNumberFormat="1" applyFont="1" applyFill="1" applyBorder="1" applyAlignment="1" applyProtection="1">
      <alignment horizontal="center" vertical="center"/>
      <protection hidden="1"/>
    </xf>
    <xf numFmtId="181" fontId="28" fillId="27" borderId="168" xfId="0" applyNumberFormat="1" applyFont="1" applyFill="1" applyBorder="1" applyAlignment="1" applyProtection="1">
      <alignment vertical="center"/>
      <protection hidden="1"/>
    </xf>
    <xf numFmtId="181" fontId="28" fillId="27" borderId="172" xfId="0" applyNumberFormat="1" applyFont="1" applyFill="1" applyBorder="1" applyAlignment="1" applyProtection="1">
      <alignment vertical="center"/>
      <protection hidden="1"/>
    </xf>
    <xf numFmtId="0" fontId="28" fillId="27" borderId="52" xfId="0" quotePrefix="1" applyNumberFormat="1" applyFont="1" applyFill="1" applyBorder="1" applyAlignment="1" applyProtection="1">
      <alignment vertical="center" wrapText="1"/>
      <protection hidden="1"/>
    </xf>
    <xf numFmtId="0" fontId="28" fillId="27" borderId="64" xfId="0" quotePrefix="1" applyNumberFormat="1" applyFont="1" applyFill="1" applyBorder="1" applyAlignment="1" applyProtection="1">
      <alignment vertical="center" wrapText="1"/>
      <protection hidden="1"/>
    </xf>
    <xf numFmtId="0" fontId="28" fillId="27" borderId="56" xfId="0" quotePrefix="1" applyNumberFormat="1" applyFont="1" applyFill="1" applyBorder="1" applyAlignment="1" applyProtection="1">
      <alignment vertical="center" wrapText="1"/>
      <protection hidden="1"/>
    </xf>
    <xf numFmtId="181" fontId="28" fillId="27" borderId="167"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protection hidden="1"/>
    </xf>
    <xf numFmtId="0" fontId="28" fillId="27" borderId="205" xfId="0" quotePrefix="1"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shrinkToFit="1"/>
      <protection hidden="1"/>
    </xf>
    <xf numFmtId="0" fontId="28" fillId="27" borderId="207" xfId="0" applyNumberFormat="1" applyFont="1" applyFill="1" applyBorder="1" applyAlignment="1" applyProtection="1">
      <alignment horizontal="left" vertical="center" wrapText="1"/>
      <protection hidden="1"/>
    </xf>
    <xf numFmtId="213" fontId="33" fillId="0" borderId="26" xfId="44" applyNumberFormat="1" applyFont="1" applyBorder="1" applyAlignment="1"/>
    <xf numFmtId="0" fontId="28"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3" fillId="0" borderId="0" xfId="44" applyFont="1" applyBorder="1" applyAlignment="1">
      <alignment horizontal="right"/>
    </xf>
    <xf numFmtId="0" fontId="28" fillId="0" borderId="52" xfId="0" applyFont="1" applyBorder="1">
      <alignment vertical="center"/>
    </xf>
    <xf numFmtId="0" fontId="165" fillId="0" borderId="53" xfId="0" applyFont="1" applyBorder="1">
      <alignment vertical="center"/>
    </xf>
    <xf numFmtId="0" fontId="165" fillId="0" borderId="54" xfId="0" applyFont="1" applyBorder="1">
      <alignment vertical="center"/>
    </xf>
    <xf numFmtId="0" fontId="165" fillId="0" borderId="0" xfId="0" applyFont="1" applyBorder="1">
      <alignment vertical="center"/>
    </xf>
    <xf numFmtId="0" fontId="165" fillId="0" borderId="17" xfId="0" applyFont="1" applyBorder="1">
      <alignment vertical="center"/>
    </xf>
    <xf numFmtId="0" fontId="28" fillId="0" borderId="56" xfId="0" applyFont="1" applyBorder="1">
      <alignment vertical="center"/>
    </xf>
    <xf numFmtId="0" fontId="165" fillId="0" borderId="57" xfId="0" applyFont="1" applyBorder="1">
      <alignment vertical="center"/>
    </xf>
    <xf numFmtId="0" fontId="165" fillId="0" borderId="58" xfId="0" applyFont="1" applyBorder="1">
      <alignment vertical="center"/>
    </xf>
    <xf numFmtId="0" fontId="28" fillId="0" borderId="64" xfId="0" applyFont="1" applyBorder="1">
      <alignment vertical="center"/>
    </xf>
    <xf numFmtId="0" fontId="0" fillId="0" borderId="64" xfId="0" applyBorder="1" applyAlignment="1">
      <alignment vertical="top"/>
    </xf>
    <xf numFmtId="0" fontId="33" fillId="0" borderId="50" xfId="0" applyFont="1" applyFill="1" applyBorder="1" applyAlignment="1" applyProtection="1">
      <alignment horizontal="left" vertical="center"/>
      <protection locked="0"/>
    </xf>
    <xf numFmtId="0" fontId="31" fillId="28" borderId="0" xfId="0" applyFont="1" applyFill="1" applyBorder="1" applyAlignment="1" applyProtection="1">
      <alignment horizontal="center" vertical="center"/>
      <protection hidden="1"/>
    </xf>
    <xf numFmtId="0" fontId="42" fillId="27" borderId="42" xfId="29" applyFont="1"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3" fillId="27" borderId="57" xfId="0" applyFont="1" applyFill="1" applyBorder="1" applyAlignment="1" applyProtection="1">
      <alignment horizontal="left" vertical="top"/>
      <protection hidden="1"/>
    </xf>
    <xf numFmtId="0" fontId="28" fillId="27" borderId="0" xfId="0" applyFont="1" applyFill="1" applyBorder="1" applyAlignment="1" applyProtection="1">
      <alignment horizontal="right" vertical="center"/>
      <protection hidden="1"/>
    </xf>
    <xf numFmtId="179" fontId="28" fillId="27" borderId="25" xfId="0" applyNumberFormat="1" applyFont="1" applyFill="1" applyBorder="1" applyAlignment="1" applyProtection="1">
      <alignment horizontal="left" vertical="center"/>
    </xf>
    <xf numFmtId="0" fontId="35"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3" fillId="0" borderId="52" xfId="0" applyFont="1" applyBorder="1" applyAlignment="1">
      <alignment vertical="top"/>
    </xf>
    <xf numFmtId="0" fontId="33" fillId="0" borderId="53" xfId="0" applyFont="1" applyBorder="1" applyAlignment="1">
      <alignment vertical="top"/>
    </xf>
    <xf numFmtId="0" fontId="33" fillId="0" borderId="54" xfId="0" applyFont="1" applyBorder="1" applyAlignment="1">
      <alignment vertical="top"/>
    </xf>
    <xf numFmtId="0" fontId="33" fillId="0" borderId="10" xfId="0" applyFont="1" applyBorder="1">
      <alignment vertical="center"/>
    </xf>
    <xf numFmtId="0" fontId="33" fillId="0" borderId="26" xfId="0" applyFont="1" applyBorder="1" applyAlignment="1">
      <alignment vertical="top" wrapText="1"/>
    </xf>
    <xf numFmtId="0" fontId="33" fillId="0" borderId="50" xfId="0" applyFont="1" applyBorder="1" applyAlignment="1">
      <alignment vertical="top" wrapText="1"/>
    </xf>
    <xf numFmtId="0" fontId="33" fillId="0" borderId="27" xfId="0" applyFont="1" applyBorder="1" applyAlignment="1">
      <alignment vertical="top" wrapText="1"/>
    </xf>
    <xf numFmtId="0" fontId="33" fillId="0" borderId="26" xfId="0" applyFont="1" applyBorder="1" applyAlignment="1">
      <alignment vertical="top"/>
    </xf>
    <xf numFmtId="0" fontId="33" fillId="0" borderId="50" xfId="0" applyFont="1" applyBorder="1" applyAlignment="1">
      <alignment vertical="top"/>
    </xf>
    <xf numFmtId="0" fontId="33" fillId="0" borderId="27" xfId="0" applyFont="1" applyBorder="1">
      <alignment vertical="center"/>
    </xf>
    <xf numFmtId="0" fontId="33" fillId="0" borderId="51" xfId="0" applyFont="1" applyBorder="1">
      <alignment vertical="center"/>
    </xf>
    <xf numFmtId="0" fontId="33" fillId="0" borderId="64" xfId="0" applyFont="1" applyBorder="1" applyAlignment="1">
      <alignment vertical="top"/>
    </xf>
    <xf numFmtId="0" fontId="33" fillId="0" borderId="0" xfId="0" applyFont="1" applyBorder="1" applyAlignment="1">
      <alignment vertical="top"/>
    </xf>
    <xf numFmtId="0" fontId="33" fillId="0" borderId="17" xfId="0" applyFont="1" applyBorder="1" applyAlignment="1">
      <alignment vertical="top"/>
    </xf>
    <xf numFmtId="213" fontId="33" fillId="0" borderId="26" xfId="0" applyNumberFormat="1" applyFont="1" applyBorder="1" applyAlignment="1">
      <alignment vertical="top"/>
    </xf>
    <xf numFmtId="213" fontId="33" fillId="0" borderId="50" xfId="0" applyNumberFormat="1" applyFont="1" applyBorder="1" applyAlignment="1">
      <alignment vertical="top"/>
    </xf>
    <xf numFmtId="213" fontId="33" fillId="0" borderId="27" xfId="0" applyNumberFormat="1" applyFont="1" applyBorder="1">
      <alignment vertical="center"/>
    </xf>
    <xf numFmtId="0" fontId="33" fillId="0" borderId="15" xfId="0" applyFont="1" applyBorder="1">
      <alignment vertical="center"/>
    </xf>
    <xf numFmtId="0" fontId="33" fillId="0" borderId="56" xfId="0" applyFont="1" applyBorder="1" applyAlignment="1">
      <alignment vertical="top"/>
    </xf>
    <xf numFmtId="0" fontId="33" fillId="0" borderId="57" xfId="0" applyFont="1" applyBorder="1" applyAlignment="1">
      <alignment vertical="top"/>
    </xf>
    <xf numFmtId="0" fontId="33" fillId="0" borderId="58" xfId="0" applyFont="1" applyBorder="1" applyAlignment="1">
      <alignment vertical="top"/>
    </xf>
    <xf numFmtId="0" fontId="33" fillId="0" borderId="10" xfId="0" applyFont="1" applyBorder="1" applyAlignment="1">
      <alignment vertical="top"/>
    </xf>
    <xf numFmtId="0" fontId="33" fillId="0" borderId="10" xfId="0" applyFont="1" applyBorder="1" applyAlignment="1">
      <alignment vertical="top" wrapText="1"/>
    </xf>
    <xf numFmtId="0" fontId="33" fillId="0" borderId="10" xfId="0" applyFont="1" applyFill="1" applyBorder="1" applyAlignment="1">
      <alignment vertical="top"/>
    </xf>
    <xf numFmtId="0" fontId="33" fillId="0" borderId="55" xfId="0" applyFont="1" applyFill="1" applyBorder="1" applyAlignment="1">
      <alignment vertical="top"/>
    </xf>
    <xf numFmtId="0" fontId="33" fillId="0" borderId="51" xfId="0" applyFont="1" applyBorder="1" applyAlignment="1">
      <alignment vertical="top"/>
    </xf>
    <xf numFmtId="0" fontId="33" fillId="0" borderId="27" xfId="0" applyFont="1" applyBorder="1" applyAlignment="1">
      <alignment vertical="top"/>
    </xf>
    <xf numFmtId="38" fontId="33" fillId="0" borderId="10" xfId="35" applyFont="1" applyBorder="1" applyAlignment="1">
      <alignment vertical="top"/>
    </xf>
    <xf numFmtId="9" fontId="33" fillId="0" borderId="10" xfId="0" applyNumberFormat="1" applyFont="1" applyBorder="1" applyAlignment="1">
      <alignment vertical="top"/>
    </xf>
    <xf numFmtId="0" fontId="33" fillId="0" borderId="10" xfId="0" applyFont="1" applyBorder="1" applyAlignment="1">
      <alignment horizontal="center"/>
    </xf>
    <xf numFmtId="213" fontId="33" fillId="0" borderId="10" xfId="0" applyNumberFormat="1" applyFont="1" applyBorder="1">
      <alignment vertical="center"/>
    </xf>
    <xf numFmtId="0" fontId="33" fillId="0" borderId="55" xfId="0" applyFont="1" applyBorder="1" applyAlignment="1">
      <alignment vertical="top"/>
    </xf>
    <xf numFmtId="0" fontId="33" fillId="0" borderId="15" xfId="0" applyFont="1" applyBorder="1" applyAlignment="1">
      <alignment vertical="top"/>
    </xf>
    <xf numFmtId="0" fontId="33" fillId="26" borderId="0" xfId="0" applyFont="1" applyFill="1">
      <alignment vertical="center"/>
    </xf>
    <xf numFmtId="0" fontId="33" fillId="0" borderId="56" xfId="0" applyFont="1" applyFill="1" applyBorder="1" applyAlignment="1">
      <alignment vertical="top"/>
    </xf>
    <xf numFmtId="0" fontId="33" fillId="0" borderId="58" xfId="0" applyFont="1" applyFill="1" applyBorder="1" applyAlignment="1">
      <alignment vertical="top"/>
    </xf>
    <xf numFmtId="0" fontId="33" fillId="0" borderId="55" xfId="0" applyFont="1" applyBorder="1">
      <alignment vertical="center"/>
    </xf>
    <xf numFmtId="0" fontId="33" fillId="0" borderId="26" xfId="0" applyFont="1" applyFill="1" applyBorder="1" applyAlignment="1">
      <alignment vertical="top"/>
    </xf>
    <xf numFmtId="0" fontId="33" fillId="0" borderId="27" xfId="0" applyFont="1" applyFill="1" applyBorder="1" applyAlignment="1">
      <alignment vertical="top"/>
    </xf>
    <xf numFmtId="0" fontId="33" fillId="0" borderId="0" xfId="0" applyFont="1" applyFill="1" applyBorder="1" applyAlignment="1">
      <alignment vertical="top"/>
    </xf>
    <xf numFmtId="0" fontId="33" fillId="0" borderId="26" xfId="0" applyFont="1" applyBorder="1">
      <alignment vertical="center"/>
    </xf>
    <xf numFmtId="0" fontId="33" fillId="0" borderId="50" xfId="0" applyFont="1" applyBorder="1">
      <alignment vertical="center"/>
    </xf>
    <xf numFmtId="38" fontId="33" fillId="0" borderId="10" xfId="35" applyFont="1" applyBorder="1">
      <alignment vertical="center"/>
    </xf>
    <xf numFmtId="38" fontId="33" fillId="0" borderId="0" xfId="0" applyNumberFormat="1" applyFont="1">
      <alignment vertical="center"/>
    </xf>
    <xf numFmtId="0" fontId="33" fillId="27" borderId="63" xfId="44" applyFont="1" applyFill="1" applyBorder="1" applyAlignment="1" applyProtection="1">
      <alignment horizontal="left"/>
    </xf>
    <xf numFmtId="212" fontId="33" fillId="27" borderId="10" xfId="35" applyNumberFormat="1" applyFont="1" applyFill="1" applyBorder="1" applyAlignment="1" applyProtection="1"/>
    <xf numFmtId="40" fontId="33" fillId="27" borderId="10" xfId="35" applyNumberFormat="1" applyFont="1" applyFill="1" applyBorder="1" applyAlignment="1" applyProtection="1">
      <alignment horizontal="right" vertical="center"/>
    </xf>
    <xf numFmtId="38" fontId="33" fillId="41" borderId="96" xfId="35" applyFont="1" applyFill="1" applyBorder="1" applyAlignment="1" applyProtection="1">
      <alignment horizontal="right" vertical="center"/>
      <protection locked="0"/>
    </xf>
    <xf numFmtId="0" fontId="6" fillId="0" borderId="0" xfId="0" applyFont="1" applyAlignment="1">
      <alignment vertical="top"/>
    </xf>
    <xf numFmtId="40" fontId="33" fillId="27" borderId="0" xfId="35" applyNumberFormat="1" applyFont="1" applyFill="1" applyBorder="1" applyAlignment="1" applyProtection="1">
      <alignment horizontal="right" vertical="center"/>
    </xf>
    <xf numFmtId="40" fontId="33" fillId="27" borderId="63" xfId="35" applyNumberFormat="1" applyFont="1" applyFill="1" applyBorder="1" applyAlignment="1" applyProtection="1">
      <alignment horizontal="right" vertical="center"/>
    </xf>
    <xf numFmtId="0" fontId="33" fillId="0" borderId="50" xfId="0" applyFont="1" applyBorder="1" applyAlignment="1">
      <alignment horizontal="center" vertical="center"/>
    </xf>
    <xf numFmtId="0" fontId="33" fillId="27" borderId="51" xfId="0" applyFont="1" applyFill="1" applyBorder="1" applyAlignment="1">
      <alignment vertical="top"/>
    </xf>
    <xf numFmtId="0" fontId="33" fillId="27" borderId="26" xfId="0" applyFont="1" applyFill="1" applyBorder="1" applyAlignment="1">
      <alignment vertical="top"/>
    </xf>
    <xf numFmtId="0" fontId="33" fillId="27" borderId="27" xfId="0" applyFont="1" applyFill="1" applyBorder="1" applyAlignment="1">
      <alignment vertical="top"/>
    </xf>
    <xf numFmtId="0" fontId="33" fillId="27" borderId="55" xfId="0" applyFont="1" applyFill="1" applyBorder="1" applyAlignment="1">
      <alignment vertical="top"/>
    </xf>
    <xf numFmtId="0" fontId="33" fillId="27" borderId="15" xfId="0" applyFont="1" applyFill="1" applyBorder="1" applyAlignment="1">
      <alignment vertical="top"/>
    </xf>
    <xf numFmtId="0" fontId="33" fillId="27" borderId="52" xfId="0" applyFont="1" applyFill="1" applyBorder="1" applyAlignment="1">
      <alignment vertical="top"/>
    </xf>
    <xf numFmtId="0" fontId="33" fillId="27" borderId="10" xfId="0" applyFont="1" applyFill="1" applyBorder="1" applyAlignment="1">
      <alignment vertical="top"/>
    </xf>
    <xf numFmtId="0" fontId="33" fillId="27" borderId="56" xfId="0" applyFont="1" applyFill="1" applyBorder="1" applyAlignment="1">
      <alignment vertical="top"/>
    </xf>
    <xf numFmtId="0" fontId="33" fillId="27" borderId="50" xfId="0" applyFont="1" applyFill="1" applyBorder="1" applyAlignment="1">
      <alignment vertical="top"/>
    </xf>
    <xf numFmtId="0" fontId="33" fillId="27" borderId="54" xfId="0" applyFont="1" applyFill="1" applyBorder="1" applyAlignment="1">
      <alignment vertical="top"/>
    </xf>
    <xf numFmtId="38" fontId="33" fillId="27" borderId="26" xfId="35" applyFont="1" applyFill="1" applyBorder="1" applyProtection="1">
      <alignment vertical="center"/>
    </xf>
    <xf numFmtId="38" fontId="33" fillId="27" borderId="146" xfId="35" applyFont="1" applyFill="1" applyBorder="1" applyProtection="1">
      <alignment vertical="center"/>
    </xf>
    <xf numFmtId="0" fontId="33" fillId="27" borderId="0" xfId="0" applyFont="1" applyFill="1" applyBorder="1" applyAlignment="1">
      <alignment vertical="top"/>
    </xf>
    <xf numFmtId="0" fontId="33" fillId="27" borderId="63" xfId="0" applyFont="1" applyFill="1" applyBorder="1" applyProtection="1">
      <alignment vertical="center"/>
    </xf>
    <xf numFmtId="0" fontId="125" fillId="27" borderId="0" xfId="44" quotePrefix="1" applyFont="1" applyFill="1" applyBorder="1" applyAlignment="1" applyProtection="1">
      <alignment vertical="center"/>
    </xf>
    <xf numFmtId="178" fontId="33" fillId="27" borderId="10" xfId="0" applyNumberFormat="1" applyFont="1" applyFill="1" applyBorder="1" applyProtection="1">
      <alignment vertical="center"/>
    </xf>
    <xf numFmtId="190" fontId="33" fillId="39" borderId="146" xfId="0" applyNumberFormat="1" applyFont="1" applyFill="1" applyBorder="1" applyProtection="1">
      <alignment vertical="center"/>
      <protection locked="0"/>
    </xf>
    <xf numFmtId="178" fontId="33" fillId="27" borderId="0" xfId="0" applyNumberFormat="1" applyFont="1" applyFill="1" applyBorder="1" applyProtection="1">
      <alignment vertical="center"/>
    </xf>
    <xf numFmtId="201" fontId="33" fillId="27" borderId="146" xfId="0" applyNumberFormat="1" applyFont="1" applyFill="1" applyBorder="1" applyAlignment="1" applyProtection="1">
      <alignment horizontal="center" vertical="center"/>
    </xf>
    <xf numFmtId="178" fontId="33" fillId="27" borderId="55" xfId="0" applyNumberFormat="1" applyFont="1" applyFill="1" applyBorder="1" applyProtection="1">
      <alignment vertical="center"/>
    </xf>
    <xf numFmtId="0" fontId="125" fillId="27" borderId="0" xfId="0" applyFont="1" applyFill="1" applyBorder="1" applyAlignment="1" applyProtection="1">
      <alignment horizontal="left" vertical="center"/>
    </xf>
    <xf numFmtId="38" fontId="33" fillId="27" borderId="10" xfId="35" applyFont="1" applyFill="1" applyBorder="1">
      <alignment vertical="center"/>
    </xf>
    <xf numFmtId="0" fontId="33" fillId="27" borderId="65" xfId="0" applyFont="1" applyFill="1" applyBorder="1" applyProtection="1">
      <alignment vertical="center"/>
    </xf>
    <xf numFmtId="0" fontId="33" fillId="27" borderId="66" xfId="0" applyFont="1" applyFill="1" applyBorder="1" applyProtection="1">
      <alignment vertical="center"/>
    </xf>
    <xf numFmtId="0" fontId="33" fillId="27" borderId="67" xfId="0" applyFont="1" applyFill="1" applyBorder="1" applyProtection="1">
      <alignment vertical="center"/>
    </xf>
    <xf numFmtId="0" fontId="125" fillId="27" borderId="66" xfId="0" applyFont="1" applyFill="1" applyBorder="1" applyProtection="1">
      <alignment vertical="center"/>
    </xf>
    <xf numFmtId="0" fontId="33" fillId="27" borderId="59" xfId="0" applyFont="1" applyFill="1" applyBorder="1" applyProtection="1">
      <alignment vertical="center"/>
    </xf>
    <xf numFmtId="0" fontId="125" fillId="27" borderId="60" xfId="44" applyFont="1" applyFill="1" applyBorder="1" applyAlignment="1" applyProtection="1">
      <alignment vertical="center"/>
    </xf>
    <xf numFmtId="0" fontId="33" fillId="27" borderId="60" xfId="0" applyFont="1" applyFill="1" applyBorder="1" applyProtection="1">
      <alignment vertical="center"/>
    </xf>
    <xf numFmtId="0" fontId="33" fillId="27" borderId="60" xfId="44" applyFont="1" applyFill="1" applyBorder="1" applyAlignment="1" applyProtection="1">
      <alignment horizontal="right"/>
    </xf>
    <xf numFmtId="0" fontId="33" fillId="27" borderId="60" xfId="44" applyFont="1" applyFill="1" applyBorder="1" applyAlignment="1" applyProtection="1"/>
    <xf numFmtId="0" fontId="33" fillId="27" borderId="61" xfId="44" applyFont="1" applyFill="1" applyBorder="1" applyAlignment="1" applyProtection="1">
      <alignment horizontal="right"/>
    </xf>
    <xf numFmtId="0" fontId="33" fillId="27" borderId="10" xfId="0" applyFont="1" applyFill="1" applyBorder="1" applyProtection="1">
      <alignment vertical="center"/>
    </xf>
    <xf numFmtId="201" fontId="33" fillId="27" borderId="0" xfId="0" applyNumberFormat="1" applyFont="1" applyFill="1" applyBorder="1" applyAlignment="1" applyProtection="1">
      <alignment horizontal="center" vertical="center"/>
    </xf>
    <xf numFmtId="178" fontId="33" fillId="27" borderId="27" xfId="0" applyNumberFormat="1" applyFont="1" applyFill="1" applyBorder="1" applyProtection="1">
      <alignment vertical="center"/>
    </xf>
    <xf numFmtId="200" fontId="33" fillId="27" borderId="10" xfId="0" applyNumberFormat="1" applyFont="1" applyFill="1" applyBorder="1" applyAlignment="1" applyProtection="1">
      <alignment horizontal="center" vertical="center"/>
    </xf>
    <xf numFmtId="178" fontId="125" fillId="27" borderId="10" xfId="0" applyNumberFormat="1" applyFont="1" applyFill="1" applyBorder="1" applyProtection="1">
      <alignment vertical="center"/>
    </xf>
    <xf numFmtId="190" fontId="0" fillId="0" borderId="0" xfId="0" applyNumberFormat="1">
      <alignment vertical="center"/>
    </xf>
    <xf numFmtId="0" fontId="0" fillId="0" borderId="51" xfId="0" applyBorder="1">
      <alignment vertical="center"/>
    </xf>
    <xf numFmtId="0" fontId="125" fillId="27" borderId="0" xfId="0" applyFont="1" applyFill="1" applyBorder="1" applyAlignment="1" applyProtection="1">
      <alignment horizontal="right" vertical="center"/>
    </xf>
    <xf numFmtId="194" fontId="33" fillId="41" borderId="146" xfId="35" applyNumberFormat="1" applyFont="1" applyFill="1" applyBorder="1" applyAlignment="1" applyProtection="1">
      <alignment horizontal="center" vertical="center"/>
      <protection locked="0"/>
    </xf>
    <xf numFmtId="40" fontId="0" fillId="0" borderId="0" xfId="0" applyNumberFormat="1">
      <alignment vertical="center"/>
    </xf>
    <xf numFmtId="179" fontId="0" fillId="0" borderId="0" xfId="0" applyNumberFormat="1">
      <alignment vertical="center"/>
    </xf>
    <xf numFmtId="38" fontId="33" fillId="27" borderId="0" xfId="35" applyFont="1" applyFill="1" applyBorder="1">
      <alignment vertical="center"/>
    </xf>
    <xf numFmtId="38" fontId="33" fillId="27" borderId="10" xfId="0" applyNumberFormat="1" applyFont="1" applyFill="1" applyBorder="1" applyProtection="1">
      <alignment vertical="center"/>
    </xf>
    <xf numFmtId="38" fontId="33" fillId="27" borderId="0" xfId="0" applyNumberFormat="1" applyFont="1" applyFill="1" applyBorder="1" applyProtection="1">
      <alignment vertical="center"/>
    </xf>
    <xf numFmtId="0" fontId="33" fillId="0" borderId="54" xfId="0" applyFont="1" applyBorder="1">
      <alignment vertical="center"/>
    </xf>
    <xf numFmtId="0" fontId="33" fillId="0" borderId="0" xfId="0" applyFont="1" applyAlignment="1">
      <alignment horizontal="right" vertical="center"/>
    </xf>
    <xf numFmtId="177" fontId="33" fillId="27" borderId="10" xfId="28" applyNumberFormat="1" applyFont="1" applyFill="1" applyBorder="1" applyAlignment="1" applyProtection="1">
      <alignment horizontal="center" vertical="center"/>
    </xf>
    <xf numFmtId="177" fontId="40" fillId="27" borderId="10" xfId="44" applyNumberFormat="1" applyFont="1" applyFill="1" applyBorder="1" applyAlignment="1" applyProtection="1">
      <alignment vertical="center"/>
    </xf>
    <xf numFmtId="38" fontId="28" fillId="31" borderId="27" xfId="0" applyNumberFormat="1" applyFont="1" applyFill="1" applyBorder="1" applyAlignment="1" applyProtection="1">
      <alignment horizontal="centerContinuous" vertical="center"/>
      <protection hidden="1"/>
    </xf>
    <xf numFmtId="221" fontId="33" fillId="27" borderId="146" xfId="0" applyNumberFormat="1" applyFont="1" applyFill="1" applyBorder="1" applyAlignment="1" applyProtection="1">
      <alignment horizontal="center" vertical="center"/>
    </xf>
    <xf numFmtId="185" fontId="36" fillId="0" borderId="110" xfId="0" applyNumberFormat="1" applyFont="1" applyFill="1" applyBorder="1" applyAlignment="1" applyProtection="1">
      <alignment horizontal="center" vertical="center"/>
      <protection hidden="1"/>
    </xf>
    <xf numFmtId="185" fontId="36" fillId="27" borderId="208" xfId="0" applyNumberFormat="1" applyFont="1" applyFill="1" applyBorder="1" applyAlignment="1" applyProtection="1">
      <alignment horizontal="center" vertical="center"/>
      <protection hidden="1"/>
    </xf>
    <xf numFmtId="218" fontId="33" fillId="27" borderId="10" xfId="0" applyNumberFormat="1" applyFont="1" applyFill="1" applyBorder="1">
      <alignment vertical="center"/>
    </xf>
    <xf numFmtId="218" fontId="33" fillId="27" borderId="51" xfId="0" applyNumberFormat="1" applyFont="1" applyFill="1" applyBorder="1">
      <alignment vertical="center"/>
    </xf>
    <xf numFmtId="218" fontId="33" fillId="27" borderId="146" xfId="0" applyNumberFormat="1" applyFont="1" applyFill="1" applyBorder="1">
      <alignment vertical="center"/>
    </xf>
    <xf numFmtId="0" fontId="33" fillId="27" borderId="100" xfId="0" applyFont="1" applyFill="1" applyBorder="1" applyProtection="1">
      <alignment vertical="center"/>
    </xf>
    <xf numFmtId="188" fontId="125" fillId="27" borderId="146" xfId="35" applyNumberFormat="1" applyFont="1" applyFill="1" applyBorder="1" applyAlignment="1" applyProtection="1">
      <alignment horizontal="center" vertical="center"/>
    </xf>
    <xf numFmtId="182" fontId="37" fillId="0" borderId="27" xfId="0" applyNumberFormat="1" applyFont="1" applyFill="1" applyBorder="1" applyAlignment="1" applyProtection="1">
      <alignment horizontal="left" wrapText="1"/>
      <protection locked="0"/>
    </xf>
    <xf numFmtId="182" fontId="28" fillId="0" borderId="80" xfId="0" applyNumberFormat="1" applyFont="1" applyFill="1" applyBorder="1" applyAlignment="1" applyProtection="1">
      <alignment horizontal="right" vertical="center" wrapText="1"/>
      <protection locked="0"/>
    </xf>
    <xf numFmtId="182" fontId="28" fillId="0" borderId="50" xfId="0" applyNumberFormat="1" applyFont="1" applyFill="1" applyBorder="1" applyAlignment="1" applyProtection="1">
      <alignment horizontal="right" vertical="center" wrapText="1"/>
      <protection locked="0"/>
    </xf>
    <xf numFmtId="189" fontId="28" fillId="0" borderId="50" xfId="0" applyNumberFormat="1" applyFont="1" applyFill="1" applyBorder="1" applyAlignment="1" applyProtection="1">
      <alignment horizontal="left" vertical="center" wrapText="1"/>
      <protection locked="0"/>
    </xf>
    <xf numFmtId="179" fontId="33" fillId="27" borderId="16" xfId="0" quotePrefix="1" applyNumberFormat="1" applyFont="1" applyFill="1" applyBorder="1" applyAlignment="1">
      <alignment horizontal="center" vertical="center"/>
    </xf>
    <xf numFmtId="179" fontId="33"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6" fillId="27" borderId="13" xfId="0" applyFont="1" applyFill="1" applyBorder="1" applyAlignment="1">
      <alignment horizontal="left" vertical="center"/>
    </xf>
    <xf numFmtId="0" fontId="6" fillId="27" borderId="173" xfId="0" applyFont="1" applyFill="1" applyBorder="1" applyAlignment="1">
      <alignment horizontal="left" vertical="center"/>
    </xf>
    <xf numFmtId="185" fontId="36" fillId="27" borderId="150" xfId="0" applyNumberFormat="1" applyFont="1" applyFill="1" applyBorder="1" applyAlignment="1" applyProtection="1">
      <alignment horizontal="center" vertical="center"/>
      <protection hidden="1"/>
    </xf>
    <xf numFmtId="0" fontId="0" fillId="0" borderId="0" xfId="0">
      <alignment vertical="center"/>
    </xf>
    <xf numFmtId="181" fontId="28" fillId="27" borderId="13" xfId="0" applyNumberFormat="1" applyFont="1" applyFill="1" applyBorder="1" applyAlignment="1" applyProtection="1">
      <alignment horizontal="left" vertical="center"/>
      <protection hidden="1"/>
    </xf>
    <xf numFmtId="0" fontId="27" fillId="49" borderId="0" xfId="0" applyFont="1" applyFill="1" applyBorder="1" applyAlignment="1">
      <alignment horizontal="left" vertical="center"/>
    </xf>
    <xf numFmtId="181" fontId="37" fillId="31" borderId="26" xfId="0" applyNumberFormat="1" applyFont="1" applyFill="1" applyBorder="1" applyAlignment="1" applyProtection="1">
      <alignment horizontal="centerContinuous" vertical="center"/>
      <protection hidden="1"/>
    </xf>
    <xf numFmtId="0" fontId="45" fillId="49" borderId="0" xfId="0" applyFont="1" applyFill="1" applyBorder="1" applyAlignment="1" applyProtection="1">
      <alignment horizontal="left" vertical="center"/>
      <protection hidden="1"/>
    </xf>
    <xf numFmtId="0" fontId="0" fillId="50" borderId="10" xfId="0" applyFill="1" applyBorder="1">
      <alignment vertical="center"/>
    </xf>
    <xf numFmtId="177" fontId="29" fillId="0" borderId="146" xfId="0" applyNumberFormat="1" applyFont="1" applyFill="1" applyBorder="1" applyAlignment="1" applyProtection="1">
      <alignment horizontal="center" vertical="center"/>
      <protection hidden="1"/>
    </xf>
    <xf numFmtId="0" fontId="33" fillId="0" borderId="0" xfId="0" applyFont="1" applyBorder="1">
      <alignment vertical="center"/>
    </xf>
    <xf numFmtId="0" fontId="125" fillId="0" borderId="0" xfId="0" applyFont="1">
      <alignment vertical="center"/>
    </xf>
    <xf numFmtId="0" fontId="33" fillId="0" borderId="52" xfId="0" applyFont="1" applyBorder="1">
      <alignment vertical="center"/>
    </xf>
    <xf numFmtId="0" fontId="33" fillId="0" borderId="64" xfId="0" applyFont="1" applyBorder="1">
      <alignment vertical="center"/>
    </xf>
    <xf numFmtId="0" fontId="33" fillId="0" borderId="56" xfId="0" applyFont="1" applyBorder="1">
      <alignment vertical="center"/>
    </xf>
    <xf numFmtId="0" fontId="33" fillId="0" borderId="17" xfId="0" applyFont="1" applyBorder="1">
      <alignment vertical="center"/>
    </xf>
    <xf numFmtId="38" fontId="33" fillId="0" borderId="10" xfId="35" applyFont="1" applyBorder="1" applyAlignment="1">
      <alignment horizontal="center"/>
    </xf>
    <xf numFmtId="0" fontId="125" fillId="0" borderId="0" xfId="0" applyFont="1" applyFill="1" applyAlignment="1" applyProtection="1"/>
    <xf numFmtId="0" fontId="0" fillId="50" borderId="0" xfId="0" applyFill="1">
      <alignment vertical="center"/>
    </xf>
    <xf numFmtId="188" fontId="33" fillId="27" borderId="0" xfId="0" applyNumberFormat="1" applyFont="1" applyFill="1" applyBorder="1" applyProtection="1">
      <alignment vertical="center"/>
    </xf>
    <xf numFmtId="0" fontId="0" fillId="50" borderId="57" xfId="0" quotePrefix="1" applyFill="1" applyBorder="1">
      <alignment vertical="center"/>
    </xf>
    <xf numFmtId="0" fontId="33" fillId="50" borderId="10" xfId="0" applyFont="1" applyFill="1" applyBorder="1">
      <alignment vertical="center"/>
    </xf>
    <xf numFmtId="222" fontId="33" fillId="50" borderId="10" xfId="0" applyNumberFormat="1" applyFont="1" applyFill="1" applyBorder="1">
      <alignment vertical="center"/>
    </xf>
    <xf numFmtId="222" fontId="33" fillId="50" borderId="10" xfId="35" applyNumberFormat="1" applyFont="1" applyFill="1" applyBorder="1">
      <alignment vertical="center"/>
    </xf>
    <xf numFmtId="0" fontId="33" fillId="50" borderId="0" xfId="0" applyFont="1" applyFill="1">
      <alignment vertical="center"/>
    </xf>
    <xf numFmtId="38" fontId="33" fillId="50" borderId="10" xfId="35" applyFont="1" applyFill="1" applyBorder="1">
      <alignment vertical="center"/>
    </xf>
    <xf numFmtId="0" fontId="0" fillId="0" borderId="0" xfId="0">
      <alignment vertical="center"/>
    </xf>
    <xf numFmtId="181" fontId="28" fillId="27" borderId="166" xfId="0" applyNumberFormat="1"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28" fillId="0" borderId="0" xfId="0" applyFont="1" applyFill="1" applyBorder="1" applyAlignment="1" applyProtection="1">
      <alignment horizontal="left" vertical="center"/>
    </xf>
    <xf numFmtId="179" fontId="28" fillId="31" borderId="26" xfId="0" applyNumberFormat="1" applyFont="1" applyFill="1" applyBorder="1" applyAlignment="1" applyProtection="1">
      <alignment vertical="center"/>
      <protection hidden="1"/>
    </xf>
    <xf numFmtId="180" fontId="28" fillId="31" borderId="157" xfId="0" applyNumberFormat="1" applyFont="1" applyFill="1" applyBorder="1" applyAlignment="1" applyProtection="1">
      <alignment horizontal="left" vertical="center"/>
      <protection hidden="1"/>
    </xf>
    <xf numFmtId="0" fontId="33" fillId="51" borderId="0" xfId="0" applyFont="1" applyFill="1" applyBorder="1" applyProtection="1">
      <alignment vertical="center"/>
    </xf>
    <xf numFmtId="0" fontId="165" fillId="27" borderId="0" xfId="0" applyFont="1" applyFill="1" applyBorder="1" applyAlignment="1">
      <alignment horizontal="left" vertical="center"/>
    </xf>
    <xf numFmtId="0" fontId="28" fillId="27" borderId="52" xfId="0" applyFont="1" applyFill="1" applyBorder="1" applyAlignment="1" applyProtection="1">
      <alignment horizontal="left" vertical="center"/>
      <protection hidden="1"/>
    </xf>
    <xf numFmtId="0" fontId="28" fillId="27" borderId="53" xfId="0" applyFont="1" applyFill="1" applyBorder="1" applyAlignment="1" applyProtection="1">
      <alignment horizontal="left" vertical="center"/>
      <protection hidden="1"/>
    </xf>
    <xf numFmtId="0" fontId="165" fillId="27" borderId="57" xfId="0" applyFont="1" applyFill="1" applyBorder="1" applyAlignment="1">
      <alignment horizontal="left" vertical="center"/>
    </xf>
    <xf numFmtId="181" fontId="28" fillId="31" borderId="89" xfId="0" applyNumberFormat="1" applyFont="1" applyFill="1" applyBorder="1" applyAlignment="1" applyProtection="1">
      <alignment horizontal="centerContinuous" vertical="center"/>
      <protection hidden="1"/>
    </xf>
    <xf numFmtId="181" fontId="28" fillId="31" borderId="53" xfId="0" applyNumberFormat="1" applyFont="1" applyFill="1" applyBorder="1" applyAlignment="1" applyProtection="1">
      <alignment horizontal="centerContinuous" vertical="top"/>
      <protection hidden="1"/>
    </xf>
    <xf numFmtId="0" fontId="28" fillId="27" borderId="54" xfId="0" applyFont="1" applyFill="1" applyBorder="1" applyAlignment="1" applyProtection="1">
      <alignment horizontal="left" vertical="center"/>
      <protection hidden="1"/>
    </xf>
    <xf numFmtId="176" fontId="28" fillId="27" borderId="64" xfId="0" applyNumberFormat="1" applyFont="1" applyFill="1" applyBorder="1" applyAlignment="1" applyProtection="1">
      <alignment horizontal="left" vertical="center"/>
      <protection hidden="1"/>
    </xf>
    <xf numFmtId="0" fontId="165" fillId="27" borderId="17" xfId="0" applyFont="1" applyFill="1" applyBorder="1" applyAlignment="1">
      <alignment horizontal="left" vertical="center"/>
    </xf>
    <xf numFmtId="176" fontId="28" fillId="27" borderId="56" xfId="0" applyNumberFormat="1" applyFont="1" applyFill="1" applyBorder="1" applyAlignment="1" applyProtection="1">
      <alignment horizontal="left" vertical="center"/>
      <protection hidden="1"/>
    </xf>
    <xf numFmtId="0" fontId="165" fillId="27" borderId="58" xfId="0" applyFont="1" applyFill="1" applyBorder="1" applyAlignment="1">
      <alignment horizontal="left" vertical="center"/>
    </xf>
    <xf numFmtId="2" fontId="33" fillId="0" borderId="0" xfId="0" applyNumberFormat="1" applyFont="1" applyFill="1" applyBorder="1" applyAlignment="1" applyProtection="1">
      <alignment horizontal="center"/>
      <protection hidden="1"/>
    </xf>
    <xf numFmtId="2" fontId="33" fillId="0" borderId="0" xfId="0" applyNumberFormat="1" applyFont="1" applyFill="1" applyBorder="1" applyAlignment="1" applyProtection="1">
      <alignment horizontal="center" vertical="top" shrinkToFit="1"/>
      <protection hidden="1"/>
    </xf>
    <xf numFmtId="40" fontId="33" fillId="0" borderId="0" xfId="35" applyNumberFormat="1" applyFont="1" applyFill="1" applyBorder="1" applyAlignment="1" applyProtection="1">
      <alignment horizontal="center" vertical="top"/>
      <protection hidden="1"/>
    </xf>
    <xf numFmtId="2" fontId="125" fillId="0" borderId="0" xfId="0" applyNumberFormat="1" applyFont="1" applyFill="1" applyBorder="1" applyAlignment="1" applyProtection="1">
      <alignment horizontal="center" vertical="top"/>
      <protection hidden="1"/>
    </xf>
    <xf numFmtId="2" fontId="125" fillId="0" borderId="0" xfId="35" applyNumberFormat="1" applyFont="1" applyFill="1" applyBorder="1" applyAlignment="1" applyProtection="1">
      <alignment horizontal="center" vertical="center"/>
      <protection hidden="1"/>
    </xf>
    <xf numFmtId="2" fontId="125"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vertical="center"/>
      <protection hidden="1"/>
    </xf>
    <xf numFmtId="178" fontId="33" fillId="0" borderId="0" xfId="35" applyNumberFormat="1" applyFont="1" applyFill="1" applyBorder="1" applyAlignment="1" applyProtection="1">
      <alignment horizontal="center" vertical="center"/>
      <protection hidden="1"/>
    </xf>
    <xf numFmtId="178" fontId="125"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protection hidden="1"/>
    </xf>
    <xf numFmtId="2" fontId="125" fillId="0" borderId="0" xfId="0" applyNumberFormat="1" applyFont="1" applyFill="1" applyBorder="1" applyAlignment="1" applyProtection="1">
      <alignment horizontal="center"/>
      <protection hidden="1"/>
    </xf>
    <xf numFmtId="0" fontId="6" fillId="0" borderId="0" xfId="0" applyFont="1" applyAlignment="1">
      <alignment horizontal="left" vertical="center"/>
    </xf>
    <xf numFmtId="0" fontId="48" fillId="0" borderId="0" xfId="0" applyFont="1" applyAlignment="1" applyProtection="1">
      <alignment horizontal="left" vertical="center"/>
    </xf>
    <xf numFmtId="0" fontId="151" fillId="0" borderId="0" xfId="0" applyFont="1" applyFill="1" applyAlignment="1" applyProtection="1">
      <alignment horizontal="left" vertical="center"/>
    </xf>
    <xf numFmtId="0" fontId="151" fillId="0" borderId="0" xfId="0" applyFont="1" applyFill="1" applyAlignment="1" applyProtection="1">
      <alignment horizontal="left" vertical="center"/>
      <protection hidden="1"/>
    </xf>
    <xf numFmtId="0" fontId="48" fillId="0" borderId="0" xfId="0" quotePrefix="1" applyFont="1" applyAlignment="1" applyProtection="1">
      <alignment horizontal="left" vertical="center"/>
      <protection hidden="1"/>
    </xf>
    <xf numFmtId="0" fontId="151" fillId="0" borderId="0" xfId="0" applyFont="1" applyFill="1" applyAlignment="1">
      <alignment horizontal="left" vertical="center"/>
    </xf>
    <xf numFmtId="0" fontId="46" fillId="0" borderId="0" xfId="0" applyFont="1" applyFill="1" applyAlignment="1">
      <alignment horizontal="left" vertical="center"/>
    </xf>
    <xf numFmtId="0" fontId="165" fillId="0" borderId="0" xfId="0" applyFont="1" applyAlignment="1">
      <alignment horizontal="left" vertical="center"/>
    </xf>
    <xf numFmtId="0" fontId="48" fillId="49" borderId="0" xfId="0" applyFont="1" applyFill="1" applyAlignment="1" applyProtection="1">
      <alignment horizontal="left" vertical="center"/>
      <protection hidden="1"/>
    </xf>
    <xf numFmtId="0" fontId="125" fillId="27" borderId="63" xfId="44" applyFont="1" applyFill="1" applyBorder="1" applyAlignment="1" applyProtection="1">
      <alignment horizontal="center" vertical="center"/>
    </xf>
    <xf numFmtId="0" fontId="125" fillId="51" borderId="0" xfId="0" applyFont="1" applyFill="1" applyBorder="1" applyProtection="1">
      <alignment vertical="center"/>
    </xf>
    <xf numFmtId="220" fontId="0" fillId="0" borderId="0" xfId="0" applyNumberFormat="1">
      <alignment vertical="center"/>
    </xf>
    <xf numFmtId="0" fontId="33" fillId="0" borderId="0" xfId="0" applyFont="1" applyProtection="1">
      <alignment vertical="center"/>
    </xf>
    <xf numFmtId="0" fontId="28" fillId="27" borderId="0" xfId="44" applyFont="1" applyFill="1" applyBorder="1" applyAlignment="1" applyProtection="1">
      <alignment horizontal="right" vertical="center"/>
    </xf>
    <xf numFmtId="178" fontId="33" fillId="27" borderId="10" xfId="44" applyNumberFormat="1" applyFont="1" applyFill="1" applyBorder="1" applyAlignment="1" applyProtection="1">
      <alignment vertical="center"/>
    </xf>
    <xf numFmtId="178" fontId="33" fillId="27" borderId="26" xfId="44" applyNumberFormat="1" applyFont="1" applyFill="1" applyBorder="1" applyAlignment="1" applyProtection="1">
      <alignment vertical="center"/>
    </xf>
    <xf numFmtId="178" fontId="33" fillId="27" borderId="10" xfId="28" applyNumberFormat="1" applyFont="1" applyFill="1" applyBorder="1" applyAlignment="1" applyProtection="1">
      <alignment horizontal="center" vertical="center"/>
    </xf>
    <xf numFmtId="178" fontId="33" fillId="27" borderId="154" xfId="44" applyNumberFormat="1" applyFont="1" applyFill="1" applyBorder="1" applyAlignment="1" applyProtection="1">
      <alignment vertical="center"/>
    </xf>
    <xf numFmtId="0" fontId="28" fillId="27" borderId="0" xfId="44" applyFont="1" applyFill="1" applyBorder="1" applyAlignment="1" applyProtection="1">
      <alignment horizontal="left" vertical="center"/>
    </xf>
    <xf numFmtId="178" fontId="33" fillId="27" borderId="0" xfId="44" applyNumberFormat="1" applyFont="1" applyFill="1" applyBorder="1" applyAlignment="1" applyProtection="1">
      <alignment vertical="center"/>
    </xf>
    <xf numFmtId="177" fontId="33" fillId="27" borderId="0" xfId="44" applyNumberFormat="1" applyFont="1" applyFill="1" applyBorder="1" applyAlignment="1" applyProtection="1">
      <alignment horizontal="center" vertical="center"/>
    </xf>
    <xf numFmtId="178" fontId="33" fillId="27" borderId="0" xfId="28" applyNumberFormat="1" applyFont="1" applyFill="1" applyBorder="1" applyAlignment="1" applyProtection="1">
      <alignment horizontal="center" vertical="center"/>
    </xf>
    <xf numFmtId="178" fontId="33" fillId="27" borderId="63" xfId="44" applyNumberFormat="1" applyFont="1" applyFill="1" applyBorder="1" applyAlignment="1" applyProtection="1">
      <alignment vertical="center"/>
    </xf>
    <xf numFmtId="0" fontId="33" fillId="27" borderId="10" xfId="44" applyFont="1" applyFill="1" applyBorder="1" applyAlignment="1" applyProtection="1">
      <alignment vertical="center"/>
    </xf>
    <xf numFmtId="0" fontId="33" fillId="27" borderId="0" xfId="44" applyFont="1" applyFill="1" applyBorder="1" applyAlignment="1" applyProtection="1">
      <alignment horizontal="center" vertical="center"/>
    </xf>
    <xf numFmtId="182" fontId="33" fillId="27" borderId="0" xfId="44" applyNumberFormat="1" applyFont="1" applyFill="1" applyBorder="1" applyAlignment="1" applyProtection="1">
      <alignment horizontal="center" vertical="center"/>
    </xf>
    <xf numFmtId="0" fontId="33" fillId="27" borderId="63" xfId="44" applyFont="1" applyFill="1" applyBorder="1" applyAlignment="1" applyProtection="1">
      <alignment vertical="center"/>
    </xf>
    <xf numFmtId="0" fontId="125" fillId="27" borderId="62" xfId="0" applyFont="1" applyFill="1" applyBorder="1" applyProtection="1">
      <alignment vertical="center"/>
    </xf>
    <xf numFmtId="9" fontId="33" fillId="27" borderId="10" xfId="0" applyNumberFormat="1" applyFont="1" applyFill="1" applyBorder="1" applyProtection="1">
      <alignment vertical="center"/>
    </xf>
    <xf numFmtId="9" fontId="33" fillId="27" borderId="10" xfId="28" applyFont="1" applyFill="1" applyBorder="1" applyProtection="1">
      <alignment vertical="center"/>
    </xf>
    <xf numFmtId="179" fontId="33" fillId="27" borderId="146" xfId="44" applyNumberFormat="1" applyFont="1" applyFill="1" applyBorder="1" applyAlignment="1" applyProtection="1">
      <alignment horizontal="right" vertical="center"/>
    </xf>
    <xf numFmtId="179" fontId="33" fillId="27" borderId="0" xfId="44" applyNumberFormat="1" applyFont="1" applyFill="1" applyBorder="1" applyAlignment="1" applyProtection="1">
      <alignment horizontal="right" vertical="center"/>
    </xf>
    <xf numFmtId="179" fontId="33" fillId="27" borderId="63" xfId="44" applyNumberFormat="1" applyFont="1" applyFill="1" applyBorder="1" applyAlignment="1" applyProtection="1">
      <alignment horizontal="right" vertical="center"/>
    </xf>
    <xf numFmtId="177" fontId="33" fillId="27" borderId="27" xfId="44" applyNumberFormat="1" applyFont="1" applyFill="1" applyBorder="1" applyAlignment="1" applyProtection="1">
      <alignment horizontal="center" vertical="center"/>
    </xf>
    <xf numFmtId="211" fontId="33" fillId="27" borderId="10" xfId="0" applyNumberFormat="1" applyFont="1" applyFill="1" applyBorder="1" applyProtection="1">
      <alignment vertical="center"/>
    </xf>
    <xf numFmtId="0" fontId="33" fillId="27" borderId="154" xfId="0" applyFont="1" applyFill="1" applyBorder="1" applyProtection="1">
      <alignment vertical="center"/>
    </xf>
    <xf numFmtId="0" fontId="33" fillId="27" borderId="146" xfId="0" applyFont="1" applyFill="1" applyBorder="1" applyAlignment="1" applyProtection="1">
      <alignment horizontal="left" vertical="center"/>
    </xf>
    <xf numFmtId="0" fontId="33" fillId="27" borderId="63" xfId="0" applyFont="1" applyFill="1" applyBorder="1" applyAlignment="1" applyProtection="1">
      <alignment horizontal="left" vertical="center"/>
    </xf>
    <xf numFmtId="0" fontId="33" fillId="27" borderId="62" xfId="44" applyFont="1" applyFill="1" applyBorder="1" applyAlignment="1" applyProtection="1"/>
    <xf numFmtId="0" fontId="33" fillId="27" borderId="0" xfId="44" applyFont="1" applyFill="1" applyBorder="1" applyAlignment="1" applyProtection="1">
      <alignment horizontal="left"/>
    </xf>
    <xf numFmtId="38" fontId="33" fillId="27" borderId="10" xfId="35" applyFont="1" applyFill="1" applyBorder="1" applyAlignment="1" applyProtection="1"/>
    <xf numFmtId="0" fontId="33" fillId="27" borderId="26" xfId="0" applyFont="1" applyFill="1" applyBorder="1" applyProtection="1">
      <alignment vertical="center"/>
    </xf>
    <xf numFmtId="38" fontId="33" fillId="27" borderId="0" xfId="35" applyFont="1" applyFill="1" applyBorder="1" applyAlignment="1" applyProtection="1"/>
    <xf numFmtId="38" fontId="33" fillId="27" borderId="63" xfId="35" applyFont="1" applyFill="1" applyBorder="1" applyAlignment="1" applyProtection="1"/>
    <xf numFmtId="0" fontId="33" fillId="27" borderId="154" xfId="44" applyFont="1" applyFill="1" applyBorder="1" applyAlignment="1" applyProtection="1"/>
    <xf numFmtId="38" fontId="33" fillId="27" borderId="155" xfId="35" applyFont="1" applyFill="1" applyBorder="1" applyAlignment="1" applyProtection="1"/>
    <xf numFmtId="38" fontId="33" fillId="27" borderId="26" xfId="35" applyFont="1" applyFill="1" applyBorder="1" applyAlignment="1" applyProtection="1"/>
    <xf numFmtId="38" fontId="33" fillId="27" borderId="123" xfId="35" applyFont="1" applyFill="1" applyBorder="1" applyAlignment="1" applyProtection="1"/>
    <xf numFmtId="38" fontId="33" fillId="27" borderId="141" xfId="35" applyFont="1" applyFill="1" applyBorder="1" applyAlignment="1" applyProtection="1"/>
    <xf numFmtId="0" fontId="33" fillId="27" borderId="0" xfId="0" applyFont="1" applyFill="1" applyBorder="1" applyAlignment="1" applyProtection="1">
      <alignment horizontal="right"/>
    </xf>
    <xf numFmtId="38" fontId="33" fillId="27" borderId="10" xfId="35" applyFont="1" applyFill="1" applyBorder="1" applyAlignment="1" applyProtection="1">
      <alignment vertical="center"/>
    </xf>
    <xf numFmtId="40" fontId="33" fillId="27" borderId="154" xfId="35" applyNumberFormat="1" applyFont="1" applyFill="1" applyBorder="1" applyAlignment="1" applyProtection="1">
      <alignment vertical="center"/>
    </xf>
    <xf numFmtId="0" fontId="28" fillId="27" borderId="0" xfId="0" applyFont="1" applyFill="1" applyBorder="1" applyAlignment="1" applyProtection="1">
      <alignment horizontal="center" vertical="center"/>
    </xf>
    <xf numFmtId="182" fontId="33" fillId="27" borderId="0" xfId="44" applyNumberFormat="1" applyFont="1" applyFill="1" applyBorder="1" applyAlignment="1" applyProtection="1">
      <alignment horizontal="left" vertical="center"/>
    </xf>
    <xf numFmtId="0" fontId="28" fillId="27" borderId="10" xfId="0" applyFont="1" applyFill="1" applyBorder="1" applyAlignment="1" applyProtection="1">
      <alignment horizontal="center" vertical="center"/>
      <protection locked="0" hidden="1"/>
    </xf>
    <xf numFmtId="0" fontId="0" fillId="0" borderId="0" xfId="0">
      <alignment vertical="center"/>
    </xf>
    <xf numFmtId="182" fontId="62" fillId="37" borderId="60" xfId="0" applyNumberFormat="1" applyFont="1" applyFill="1" applyBorder="1" applyAlignment="1" applyProtection="1">
      <alignment horizontal="left" vertical="center"/>
      <protection hidden="1"/>
    </xf>
    <xf numFmtId="182" fontId="110" fillId="37" borderId="69" xfId="0" applyNumberFormat="1" applyFont="1" applyFill="1" applyBorder="1" applyAlignment="1" applyProtection="1">
      <alignment horizontal="left" vertical="center"/>
      <protection hidden="1"/>
    </xf>
    <xf numFmtId="198" fontId="33" fillId="27" borderId="51" xfId="0" applyNumberFormat="1" applyFont="1" applyFill="1" applyBorder="1" applyAlignment="1" applyProtection="1">
      <alignment horizontal="center" vertical="center"/>
      <protection hidden="1"/>
    </xf>
    <xf numFmtId="185" fontId="15" fillId="27" borderId="100" xfId="0" applyNumberFormat="1" applyFont="1" applyFill="1" applyBorder="1" applyAlignment="1" applyProtection="1">
      <alignment horizontal="center" vertical="top" wrapText="1"/>
      <protection hidden="1"/>
    </xf>
    <xf numFmtId="198" fontId="36" fillId="33" borderId="227" xfId="0" applyNumberFormat="1" applyFont="1" applyFill="1" applyBorder="1" applyAlignment="1" applyProtection="1">
      <alignment horizontal="center" vertical="center"/>
      <protection hidden="1"/>
    </xf>
    <xf numFmtId="185" fontId="63" fillId="33" borderId="136" xfId="0" applyNumberFormat="1" applyFont="1" applyFill="1" applyBorder="1" applyAlignment="1" applyProtection="1">
      <alignment horizontal="center" vertical="center"/>
      <protection hidden="1"/>
    </xf>
    <xf numFmtId="223" fontId="36" fillId="31" borderId="228" xfId="0" applyNumberFormat="1" applyFont="1" applyFill="1" applyBorder="1" applyAlignment="1" applyProtection="1">
      <alignment horizontal="center" vertical="center"/>
      <protection hidden="1"/>
    </xf>
    <xf numFmtId="185" fontId="126" fillId="27" borderId="231" xfId="0" applyNumberFormat="1" applyFont="1" applyFill="1" applyBorder="1" applyAlignment="1" applyProtection="1">
      <alignment horizontal="center" vertical="center"/>
      <protection hidden="1"/>
    </xf>
    <xf numFmtId="2" fontId="28" fillId="0" borderId="10" xfId="0" applyNumberFormat="1" applyFont="1" applyFill="1" applyBorder="1" applyAlignment="1" applyProtection="1">
      <alignment horizontal="center" vertical="justify"/>
      <protection hidden="1"/>
    </xf>
    <xf numFmtId="178" fontId="28" fillId="0" borderId="232" xfId="0" applyNumberFormat="1" applyFont="1" applyFill="1" applyBorder="1" applyAlignment="1" applyProtection="1">
      <alignment horizontal="center" vertical="justify"/>
      <protection hidden="1"/>
    </xf>
    <xf numFmtId="198" fontId="33" fillId="27" borderId="52" xfId="0" applyNumberFormat="1" applyFont="1" applyFill="1" applyBorder="1" applyAlignment="1" applyProtection="1">
      <alignment horizontal="center" vertical="center"/>
      <protection hidden="1"/>
    </xf>
    <xf numFmtId="198" fontId="36" fillId="33" borderId="234" xfId="0" applyNumberFormat="1" applyFont="1" applyFill="1" applyBorder="1" applyAlignment="1" applyProtection="1">
      <alignment horizontal="center" vertical="center"/>
      <protection hidden="1"/>
    </xf>
    <xf numFmtId="223" fontId="36" fillId="31" borderId="235" xfId="0" applyNumberFormat="1" applyFont="1" applyFill="1" applyBorder="1" applyAlignment="1" applyProtection="1">
      <alignment horizontal="center" vertical="center"/>
      <protection hidden="1"/>
    </xf>
    <xf numFmtId="0" fontId="28" fillId="27" borderId="72" xfId="0" applyFont="1" applyFill="1" applyBorder="1" applyAlignment="1" applyProtection="1">
      <alignment horizontal="centerContinuous" vertical="center" shrinkToFit="1"/>
      <protection hidden="1"/>
    </xf>
    <xf numFmtId="0" fontId="6" fillId="27" borderId="75" xfId="0" applyFont="1" applyFill="1" applyBorder="1" applyAlignment="1" applyProtection="1">
      <alignment horizontal="centerContinuous" vertical="center"/>
      <protection hidden="1"/>
    </xf>
    <xf numFmtId="185" fontId="26" fillId="27" borderId="237" xfId="0" applyNumberFormat="1" applyFont="1" applyFill="1" applyBorder="1" applyAlignment="1" applyProtection="1">
      <alignment horizontal="center" vertical="center" wrapText="1"/>
      <protection hidden="1"/>
    </xf>
    <xf numFmtId="185" fontId="84" fillId="27" borderId="142" xfId="0" applyNumberFormat="1" applyFont="1" applyFill="1" applyBorder="1" applyAlignment="1" applyProtection="1">
      <alignment horizontal="center" vertical="center" wrapText="1"/>
      <protection hidden="1"/>
    </xf>
    <xf numFmtId="182" fontId="37" fillId="33" borderId="238" xfId="0" applyNumberFormat="1" applyFont="1" applyFill="1" applyBorder="1" applyAlignment="1" applyProtection="1">
      <alignment horizontal="left"/>
      <protection hidden="1"/>
    </xf>
    <xf numFmtId="198" fontId="101" fillId="33" borderId="239" xfId="0" applyNumberFormat="1" applyFont="1" applyFill="1" applyBorder="1" applyAlignment="1" applyProtection="1">
      <alignment horizontal="center" vertical="center"/>
      <protection hidden="1"/>
    </xf>
    <xf numFmtId="182" fontId="37" fillId="31" borderId="240" xfId="0" applyNumberFormat="1" applyFont="1" applyFill="1" applyBorder="1" applyAlignment="1" applyProtection="1">
      <alignment horizontal="left"/>
      <protection hidden="1"/>
    </xf>
    <xf numFmtId="198" fontId="126" fillId="31" borderId="241" xfId="0" applyNumberFormat="1" applyFont="1" applyFill="1" applyBorder="1" applyAlignment="1" applyProtection="1">
      <alignment horizontal="center" vertical="center"/>
      <protection hidden="1"/>
    </xf>
    <xf numFmtId="185" fontId="36" fillId="27" borderId="242" xfId="0" applyNumberFormat="1" applyFont="1" applyFill="1" applyBorder="1" applyAlignment="1" applyProtection="1">
      <alignment horizontal="center" vertical="center"/>
      <protection hidden="1"/>
    </xf>
    <xf numFmtId="198" fontId="129" fillId="27" borderId="230"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5" fontId="36" fillId="27" borderId="163" xfId="0" applyNumberFormat="1" applyFont="1" applyFill="1" applyBorder="1" applyAlignment="1" applyProtection="1">
      <alignment horizontal="center" vertical="center"/>
      <protection hidden="1"/>
    </xf>
    <xf numFmtId="223" fontId="36" fillId="52" borderId="229" xfId="0" applyNumberFormat="1" applyFont="1" applyFill="1" applyBorder="1" applyAlignment="1" applyProtection="1">
      <alignment horizontal="center" vertical="center"/>
      <protection locked="0"/>
    </xf>
    <xf numFmtId="223" fontId="36" fillId="52" borderId="236" xfId="0" applyNumberFormat="1" applyFont="1" applyFill="1" applyBorder="1" applyAlignment="1" applyProtection="1">
      <alignment horizontal="center" vertical="center"/>
      <protection locked="0"/>
    </xf>
    <xf numFmtId="223" fontId="36" fillId="52" borderId="10" xfId="0" applyNumberFormat="1" applyFont="1" applyFill="1" applyBorder="1" applyAlignment="1" applyProtection="1">
      <alignment horizontal="center" vertical="center"/>
      <protection locked="0"/>
    </xf>
    <xf numFmtId="0" fontId="0" fillId="0" borderId="0" xfId="0">
      <alignment vertical="center"/>
    </xf>
    <xf numFmtId="177" fontId="53" fillId="40" borderId="51" xfId="0" applyNumberFormat="1" applyFont="1" applyFill="1" applyBorder="1" applyAlignment="1" applyProtection="1">
      <alignment horizontal="center" vertical="center"/>
      <protection hidden="1"/>
    </xf>
    <xf numFmtId="0" fontId="129" fillId="0" borderId="51" xfId="0" applyNumberFormat="1" applyFont="1" applyFill="1" applyBorder="1" applyAlignment="1" applyProtection="1">
      <alignment horizontal="center" vertical="center"/>
      <protection hidden="1"/>
    </xf>
    <xf numFmtId="0" fontId="53" fillId="0" borderId="51" xfId="0" applyNumberFormat="1" applyFont="1" applyBorder="1" applyAlignment="1" applyProtection="1">
      <alignment horizontal="center" vertical="center"/>
      <protection hidden="1"/>
    </xf>
    <xf numFmtId="0" fontId="26" fillId="0" borderId="51" xfId="0" applyNumberFormat="1" applyFont="1" applyFill="1" applyBorder="1" applyAlignment="1" applyProtection="1">
      <alignment horizontal="center" vertical="justify"/>
      <protection hidden="1"/>
    </xf>
    <xf numFmtId="0" fontId="26" fillId="0" borderId="60" xfId="0" applyFont="1" applyFill="1" applyBorder="1" applyAlignment="1" applyProtection="1">
      <alignment horizontal="center" vertical="justify"/>
      <protection hidden="1"/>
    </xf>
    <xf numFmtId="0" fontId="0" fillId="0" borderId="60" xfId="0" applyBorder="1">
      <alignment vertical="center"/>
    </xf>
    <xf numFmtId="0" fontId="53" fillId="0" borderId="180" xfId="0" applyNumberFormat="1" applyFont="1" applyBorder="1" applyAlignment="1" applyProtection="1">
      <alignment horizontal="center" vertical="center"/>
      <protection hidden="1"/>
    </xf>
    <xf numFmtId="0" fontId="126" fillId="0" borderId="180" xfId="0" applyNumberFormat="1" applyFont="1" applyFill="1" applyBorder="1" applyAlignment="1" applyProtection="1">
      <alignment horizontal="center" vertical="center"/>
      <protection hidden="1"/>
    </xf>
    <xf numFmtId="0" fontId="26" fillId="0" borderId="180" xfId="0" applyNumberFormat="1" applyFont="1" applyFill="1" applyBorder="1" applyAlignment="1" applyProtection="1">
      <alignment horizontal="center" vertical="justify"/>
      <protection hidden="1"/>
    </xf>
    <xf numFmtId="0" fontId="29" fillId="0" borderId="180" xfId="0" applyFont="1" applyFill="1" applyBorder="1" applyProtection="1">
      <alignment vertical="center"/>
      <protection hidden="1"/>
    </xf>
    <xf numFmtId="0" fontId="29" fillId="0" borderId="60" xfId="0" applyFont="1" applyFill="1" applyBorder="1" applyProtection="1">
      <alignment vertical="center"/>
      <protection hidden="1"/>
    </xf>
    <xf numFmtId="223" fontId="36" fillId="31" borderId="227" xfId="0" applyNumberFormat="1" applyFont="1" applyFill="1" applyBorder="1" applyAlignment="1" applyProtection="1">
      <alignment horizontal="center" vertical="center"/>
      <protection hidden="1"/>
    </xf>
    <xf numFmtId="223" fontId="36" fillId="31" borderId="234" xfId="0" applyNumberFormat="1" applyFont="1" applyFill="1" applyBorder="1" applyAlignment="1" applyProtection="1">
      <alignment horizontal="center" vertical="center"/>
      <protection hidden="1"/>
    </xf>
    <xf numFmtId="182" fontId="37" fillId="31" borderId="238" xfId="0" applyNumberFormat="1" applyFont="1" applyFill="1" applyBorder="1" applyAlignment="1" applyProtection="1">
      <alignment horizontal="left"/>
      <protection hidden="1"/>
    </xf>
    <xf numFmtId="198" fontId="126" fillId="31" borderId="239" xfId="0" applyNumberFormat="1" applyFont="1" applyFill="1" applyBorder="1" applyAlignment="1" applyProtection="1">
      <alignment horizontal="center" vertical="center"/>
      <protection hidden="1"/>
    </xf>
    <xf numFmtId="0" fontId="23" fillId="27" borderId="62" xfId="0" applyNumberFormat="1" applyFont="1" applyFill="1" applyBorder="1" applyAlignment="1" applyProtection="1">
      <alignment vertical="top"/>
      <protection hidden="1"/>
    </xf>
    <xf numFmtId="0" fontId="84" fillId="27" borderId="0" xfId="0" applyFont="1" applyFill="1" applyBorder="1" applyAlignment="1" applyProtection="1">
      <alignment horizontal="left" vertical="top"/>
      <protection hidden="1"/>
    </xf>
    <xf numFmtId="0" fontId="117" fillId="27" borderId="0" xfId="0" applyFont="1" applyFill="1" applyBorder="1" applyAlignment="1" applyProtection="1">
      <alignment vertical="top"/>
      <protection hidden="1"/>
    </xf>
    <xf numFmtId="0" fontId="118" fillId="27" borderId="0" xfId="0" applyFont="1" applyFill="1" applyBorder="1" applyAlignment="1" applyProtection="1">
      <alignment vertical="top"/>
      <protection hidden="1"/>
    </xf>
    <xf numFmtId="0" fontId="118" fillId="27" borderId="63" xfId="0" applyFont="1" applyFill="1" applyBorder="1" applyAlignment="1" applyProtection="1">
      <alignment vertical="top"/>
      <protection hidden="1"/>
    </xf>
    <xf numFmtId="0" fontId="62" fillId="33" borderId="130" xfId="0" applyNumberFormat="1" applyFont="1" applyFill="1" applyBorder="1" applyAlignment="1" applyProtection="1">
      <alignment vertical="center"/>
      <protection hidden="1"/>
    </xf>
    <xf numFmtId="0" fontId="123" fillId="33" borderId="131" xfId="0" applyNumberFormat="1" applyFont="1" applyFill="1" applyBorder="1" applyAlignment="1" applyProtection="1">
      <alignment horizontal="left" vertical="center"/>
      <protection hidden="1"/>
    </xf>
    <xf numFmtId="184" fontId="122" fillId="33" borderId="131" xfId="0" applyNumberFormat="1" applyFont="1" applyFill="1" applyBorder="1" applyAlignment="1" applyProtection="1">
      <alignment horizontal="center" vertical="center"/>
      <protection hidden="1"/>
    </xf>
    <xf numFmtId="184" fontId="62" fillId="33" borderId="131" xfId="0" applyNumberFormat="1" applyFont="1" applyFill="1" applyBorder="1" applyAlignment="1" applyProtection="1">
      <alignment horizontal="center" vertical="center"/>
      <protection hidden="1"/>
    </xf>
    <xf numFmtId="184" fontId="62" fillId="33" borderId="132" xfId="0" applyNumberFormat="1" applyFont="1" applyFill="1" applyBorder="1" applyAlignment="1" applyProtection="1">
      <alignment horizontal="center" vertical="center"/>
      <protection hidden="1"/>
    </xf>
    <xf numFmtId="223" fontId="36" fillId="31" borderId="238" xfId="0" applyNumberFormat="1" applyFont="1" applyFill="1" applyBorder="1" applyAlignment="1" applyProtection="1">
      <alignment horizontal="center" vertical="center"/>
      <protection hidden="1"/>
    </xf>
    <xf numFmtId="0" fontId="125" fillId="27" borderId="53" xfId="0" applyFont="1" applyFill="1" applyBorder="1" applyAlignment="1" applyProtection="1">
      <alignment horizontal="left" vertical="center"/>
      <protection hidden="1"/>
    </xf>
    <xf numFmtId="185" fontId="0" fillId="0" borderId="0" xfId="0" applyNumberFormat="1">
      <alignment vertical="center"/>
    </xf>
    <xf numFmtId="2" fontId="0" fillId="50" borderId="10" xfId="0" applyNumberFormat="1" applyFill="1" applyBorder="1">
      <alignment vertical="center"/>
    </xf>
    <xf numFmtId="182" fontId="28" fillId="27" borderId="180" xfId="0" applyNumberFormat="1" applyFont="1" applyFill="1" applyBorder="1" applyAlignment="1" applyProtection="1">
      <alignment horizontal="center" vertical="center"/>
      <protection hidden="1"/>
    </xf>
    <xf numFmtId="182" fontId="28" fillId="27" borderId="233" xfId="0" applyNumberFormat="1" applyFont="1" applyFill="1" applyBorder="1" applyAlignment="1" applyProtection="1">
      <alignment horizontal="center" vertical="center"/>
      <protection hidden="1"/>
    </xf>
    <xf numFmtId="182" fontId="28" fillId="27" borderId="180"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197" fontId="125" fillId="53" borderId="10" xfId="35" applyNumberFormat="1" applyFont="1" applyFill="1" applyBorder="1" applyAlignment="1" applyProtection="1">
      <alignment horizontal="center" vertical="center"/>
      <protection hidden="1"/>
    </xf>
    <xf numFmtId="0" fontId="23" fillId="0" borderId="0" xfId="0" applyFont="1">
      <alignment vertical="center"/>
    </xf>
    <xf numFmtId="0" fontId="0" fillId="0" borderId="0" xfId="0">
      <alignment vertical="center"/>
    </xf>
    <xf numFmtId="181" fontId="28" fillId="27" borderId="171" xfId="0" applyNumberFormat="1" applyFont="1" applyFill="1" applyBorder="1" applyAlignment="1" applyProtection="1">
      <alignment horizontal="left" vertical="center"/>
      <protection hidden="1"/>
    </xf>
    <xf numFmtId="195" fontId="45" fillId="27" borderId="50" xfId="0" applyNumberFormat="1" applyFont="1" applyFill="1" applyBorder="1" applyAlignment="1" applyProtection="1">
      <alignment horizontal="center" vertical="center" wrapText="1"/>
      <protection hidden="1"/>
    </xf>
    <xf numFmtId="181" fontId="28" fillId="27" borderId="12" xfId="0" applyNumberFormat="1"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vertical="center"/>
      <protection hidden="1"/>
    </xf>
    <xf numFmtId="0" fontId="6" fillId="27" borderId="179" xfId="0" applyFont="1" applyFill="1" applyBorder="1" applyAlignment="1" applyProtection="1">
      <alignment horizontal="center" vertical="center"/>
      <protection hidden="1"/>
    </xf>
    <xf numFmtId="0" fontId="0" fillId="38" borderId="0" xfId="0" applyFill="1">
      <alignment vertical="center"/>
    </xf>
    <xf numFmtId="0" fontId="6" fillId="27" borderId="10" xfId="0" applyFont="1" applyFill="1" applyBorder="1" applyAlignment="1" applyProtection="1">
      <alignment horizontal="center" vertical="center"/>
      <protection hidden="1"/>
    </xf>
    <xf numFmtId="0" fontId="6" fillId="27" borderId="15" xfId="0" applyFont="1" applyFill="1" applyBorder="1" applyAlignment="1" applyProtection="1">
      <alignment horizontal="center" vertical="center"/>
      <protection hidden="1"/>
    </xf>
    <xf numFmtId="0" fontId="28" fillId="27" borderId="52" xfId="0" applyFont="1" applyFill="1" applyBorder="1" applyProtection="1">
      <alignment vertical="center"/>
      <protection hidden="1"/>
    </xf>
    <xf numFmtId="0" fontId="28" fillId="27" borderId="54" xfId="0" applyFont="1" applyFill="1" applyBorder="1" applyProtection="1">
      <alignment vertical="center"/>
      <protection hidden="1"/>
    </xf>
    <xf numFmtId="0" fontId="28" fillId="27" borderId="56" xfId="0" applyFont="1" applyFill="1" applyBorder="1" applyProtection="1">
      <alignment vertical="center"/>
      <protection hidden="1"/>
    </xf>
    <xf numFmtId="0" fontId="28" fillId="27" borderId="58" xfId="0" applyFont="1" applyFill="1" applyBorder="1" applyProtection="1">
      <alignment vertical="center"/>
      <protection hidden="1"/>
    </xf>
    <xf numFmtId="0" fontId="28" fillId="27" borderId="10" xfId="0" applyFont="1" applyFill="1" applyBorder="1" applyProtection="1">
      <alignment vertical="center"/>
      <protection hidden="1"/>
    </xf>
    <xf numFmtId="0" fontId="28" fillId="27" borderId="50" xfId="0" applyFont="1" applyFill="1" applyBorder="1" applyAlignment="1" applyProtection="1">
      <alignment vertical="center" wrapText="1"/>
      <protection hidden="1"/>
    </xf>
    <xf numFmtId="179" fontId="28" fillId="31" borderId="50"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 vertical="center"/>
      <protection hidden="1"/>
    </xf>
    <xf numFmtId="181" fontId="28" fillId="31" borderId="54" xfId="0" applyNumberFormat="1" applyFont="1" applyFill="1" applyBorder="1" applyAlignment="1" applyProtection="1">
      <alignment horizontal="center" vertical="center"/>
      <protection hidden="1"/>
    </xf>
    <xf numFmtId="0" fontId="28" fillId="52" borderId="26" xfId="0" applyFont="1" applyFill="1" applyBorder="1">
      <alignment vertical="center"/>
    </xf>
    <xf numFmtId="0" fontId="28" fillId="52" borderId="50" xfId="0" applyFont="1" applyFill="1" applyBorder="1">
      <alignment vertical="center"/>
    </xf>
    <xf numFmtId="0" fontId="28" fillId="52" borderId="10" xfId="0" applyFont="1" applyFill="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center"/>
    </xf>
    <xf numFmtId="0" fontId="6" fillId="0" borderId="146" xfId="0" applyFont="1" applyBorder="1">
      <alignment vertical="center"/>
    </xf>
    <xf numFmtId="0" fontId="28" fillId="54" borderId="10" xfId="0" applyFont="1" applyFill="1" applyBorder="1">
      <alignment vertical="center"/>
    </xf>
    <xf numFmtId="0" fontId="28" fillId="54" borderId="10" xfId="0" applyFont="1" applyFill="1" applyBorder="1" applyAlignment="1">
      <alignment horizontal="center" vertical="center"/>
    </xf>
    <xf numFmtId="0" fontId="28" fillId="52" borderId="10" xfId="0" applyFont="1" applyFill="1" applyBorder="1">
      <alignment vertical="center"/>
    </xf>
    <xf numFmtId="199" fontId="6" fillId="0" borderId="0" xfId="0" applyNumberFormat="1" applyFont="1">
      <alignment vertical="center"/>
    </xf>
    <xf numFmtId="184" fontId="28" fillId="52" borderId="10" xfId="0" applyNumberFormat="1" applyFont="1" applyFill="1" applyBorder="1" applyAlignment="1">
      <alignment horizontal="center" vertical="center"/>
    </xf>
    <xf numFmtId="0" fontId="33" fillId="0" borderId="50" xfId="0" applyFont="1" applyFill="1" applyBorder="1" applyAlignment="1">
      <alignment vertical="top"/>
    </xf>
    <xf numFmtId="0" fontId="0" fillId="0" borderId="0" xfId="0">
      <alignment vertical="center"/>
    </xf>
    <xf numFmtId="0" fontId="0" fillId="0" borderId="50" xfId="0" applyBorder="1">
      <alignment vertical="center"/>
    </xf>
    <xf numFmtId="0" fontId="0" fillId="0" borderId="0" xfId="0">
      <alignment vertical="center"/>
    </xf>
    <xf numFmtId="0" fontId="0" fillId="0" borderId="0" xfId="0">
      <alignment vertical="center"/>
    </xf>
    <xf numFmtId="0" fontId="0" fillId="0" borderId="60" xfId="0" applyBorder="1" applyAlignment="1">
      <alignment vertical="center"/>
    </xf>
    <xf numFmtId="0" fontId="170" fillId="55" borderId="244" xfId="0" applyFont="1" applyFill="1" applyBorder="1" applyAlignment="1">
      <alignment horizontal="center" vertical="center"/>
    </xf>
    <xf numFmtId="0" fontId="170" fillId="55" borderId="244" xfId="0" applyFont="1" applyFill="1" applyBorder="1" applyAlignment="1">
      <alignment horizontal="center" vertical="center" wrapText="1"/>
    </xf>
    <xf numFmtId="0" fontId="170" fillId="55" borderId="245" xfId="0" applyFont="1" applyFill="1" applyBorder="1" applyAlignment="1">
      <alignment horizontal="center" vertical="center" wrapText="1"/>
    </xf>
    <xf numFmtId="177" fontId="45" fillId="0" borderId="247" xfId="0" applyNumberFormat="1" applyFont="1" applyBorder="1">
      <alignment vertical="center"/>
    </xf>
    <xf numFmtId="0" fontId="0" fillId="0" borderId="62" xfId="0" applyBorder="1">
      <alignment vertical="center"/>
    </xf>
    <xf numFmtId="177" fontId="0" fillId="0" borderId="15" xfId="0" applyNumberFormat="1" applyBorder="1" applyAlignment="1">
      <alignment horizontal="center" vertical="center"/>
    </xf>
    <xf numFmtId="0" fontId="0" fillId="0" borderId="0" xfId="0" applyBorder="1" applyAlignment="1">
      <alignment horizontal="center" vertical="center"/>
    </xf>
    <xf numFmtId="177" fontId="0" fillId="0" borderId="248" xfId="0" applyNumberFormat="1" applyBorder="1">
      <alignment vertical="center"/>
    </xf>
    <xf numFmtId="0" fontId="0" fillId="0" borderId="80" xfId="0" applyBorder="1">
      <alignment vertical="center"/>
    </xf>
    <xf numFmtId="177" fontId="0" fillId="0" borderId="10" xfId="0" applyNumberFormat="1" applyBorder="1" applyAlignment="1">
      <alignment horizontal="center" vertical="center"/>
    </xf>
    <xf numFmtId="0" fontId="0" fillId="0" borderId="50" xfId="0" applyBorder="1" applyAlignment="1">
      <alignment horizontal="center" vertical="center"/>
    </xf>
    <xf numFmtId="177" fontId="0" fillId="0" borderId="249" xfId="0" applyNumberFormat="1" applyBorder="1">
      <alignment vertical="center"/>
    </xf>
    <xf numFmtId="0" fontId="0" fillId="0" borderId="65" xfId="0" applyBorder="1">
      <alignment vertical="center"/>
    </xf>
    <xf numFmtId="0" fontId="0" fillId="0" borderId="66" xfId="0" applyBorder="1">
      <alignment vertical="center"/>
    </xf>
    <xf numFmtId="177" fontId="0" fillId="0" borderId="151" xfId="0" applyNumberFormat="1" applyBorder="1" applyAlignment="1">
      <alignment horizontal="center" vertical="center"/>
    </xf>
    <xf numFmtId="0" fontId="0" fillId="0" borderId="66" xfId="0" applyBorder="1" applyAlignment="1">
      <alignment horizontal="center" vertical="center"/>
    </xf>
    <xf numFmtId="177" fontId="0" fillId="0" borderId="250" xfId="0" applyNumberFormat="1" applyBorder="1">
      <alignment vertical="center"/>
    </xf>
    <xf numFmtId="177" fontId="45" fillId="0" borderId="251" xfId="0" applyNumberFormat="1" applyFont="1" applyBorder="1">
      <alignment vertical="center"/>
    </xf>
    <xf numFmtId="0" fontId="0" fillId="0" borderId="252" xfId="0" applyBorder="1">
      <alignment vertical="center"/>
    </xf>
    <xf numFmtId="0" fontId="0" fillId="0" borderId="253" xfId="0" applyBorder="1" applyAlignment="1">
      <alignment vertical="center" wrapText="1"/>
    </xf>
    <xf numFmtId="0" fontId="37" fillId="0" borderId="254" xfId="0" applyFont="1" applyBorder="1" applyAlignment="1">
      <alignment vertical="center" wrapText="1"/>
    </xf>
    <xf numFmtId="0" fontId="0" fillId="0" borderId="255" xfId="0" applyBorder="1">
      <alignment vertical="center"/>
    </xf>
    <xf numFmtId="0" fontId="0" fillId="0" borderId="256" xfId="0" applyBorder="1" applyAlignment="1">
      <alignment vertical="center" wrapText="1"/>
    </xf>
    <xf numFmtId="0" fontId="37" fillId="0" borderId="257" xfId="0" applyFont="1" applyBorder="1" applyAlignment="1">
      <alignment vertical="center" wrapText="1"/>
    </xf>
    <xf numFmtId="0" fontId="0" fillId="0" borderId="259" xfId="0" applyBorder="1">
      <alignment vertical="center"/>
    </xf>
    <xf numFmtId="0" fontId="0" fillId="0" borderId="128" xfId="0" applyBorder="1">
      <alignment vertical="center"/>
    </xf>
    <xf numFmtId="177" fontId="0" fillId="0" borderId="138" xfId="0" applyNumberFormat="1" applyBorder="1" applyAlignment="1">
      <alignment horizontal="center" vertical="center"/>
    </xf>
    <xf numFmtId="0" fontId="0" fillId="0" borderId="158" xfId="0" applyBorder="1" applyAlignment="1">
      <alignment horizontal="center" vertical="center"/>
    </xf>
    <xf numFmtId="177" fontId="0" fillId="0" borderId="260" xfId="0" applyNumberFormat="1" applyBorder="1">
      <alignment vertical="center"/>
    </xf>
    <xf numFmtId="0" fontId="0" fillId="0" borderId="10" xfId="0" applyBorder="1" applyAlignment="1">
      <alignment horizontal="center" vertical="center"/>
    </xf>
    <xf numFmtId="177" fontId="23" fillId="0" borderId="0" xfId="0" applyNumberFormat="1" applyFont="1" applyBorder="1" applyAlignment="1">
      <alignment horizontal="left" vertical="center"/>
    </xf>
    <xf numFmtId="0" fontId="0" fillId="0" borderId="63" xfId="0" applyBorder="1">
      <alignment vertical="center"/>
    </xf>
    <xf numFmtId="177" fontId="23" fillId="0" borderId="60" xfId="0" applyNumberFormat="1" applyFont="1" applyBorder="1" applyAlignment="1">
      <alignment horizontal="left" vertical="center"/>
    </xf>
    <xf numFmtId="0" fontId="0" fillId="0" borderId="61" xfId="0" applyBorder="1">
      <alignment vertical="center"/>
    </xf>
    <xf numFmtId="0" fontId="0" fillId="0" borderId="67" xfId="0" applyBorder="1">
      <alignment vertical="center"/>
    </xf>
    <xf numFmtId="0" fontId="0" fillId="0" borderId="10" xfId="0" applyBorder="1" applyAlignment="1">
      <alignment vertical="center" shrinkToFit="1"/>
    </xf>
    <xf numFmtId="181" fontId="26" fillId="27" borderId="15" xfId="0" applyNumberFormat="1" applyFont="1" applyFill="1" applyBorder="1" applyAlignment="1" applyProtection="1">
      <alignment horizontal="center" vertical="center"/>
      <protection hidden="1"/>
    </xf>
    <xf numFmtId="0" fontId="28" fillId="27" borderId="264" xfId="0" applyFont="1" applyFill="1" applyBorder="1" applyAlignment="1" applyProtection="1">
      <alignment horizontal="center" vertical="center"/>
      <protection hidden="1"/>
    </xf>
    <xf numFmtId="0" fontId="28" fillId="27" borderId="265" xfId="0" applyFont="1" applyFill="1" applyBorder="1" applyAlignment="1" applyProtection="1">
      <alignment horizontal="center" vertical="center"/>
      <protection hidden="1"/>
    </xf>
    <xf numFmtId="0" fontId="28" fillId="27" borderId="266" xfId="0" applyFont="1" applyFill="1" applyBorder="1" applyAlignment="1" applyProtection="1">
      <alignment horizontal="center" vertical="center"/>
      <protection hidden="1"/>
    </xf>
    <xf numFmtId="0" fontId="28" fillId="27" borderId="267" xfId="0" applyFont="1" applyFill="1" applyBorder="1" applyAlignment="1" applyProtection="1">
      <alignment horizontal="center" vertical="center"/>
      <protection hidden="1"/>
    </xf>
    <xf numFmtId="0" fontId="28" fillId="27" borderId="268" xfId="0" applyFont="1" applyFill="1" applyBorder="1" applyAlignment="1" applyProtection="1">
      <alignment horizontal="center" vertical="center"/>
      <protection hidden="1"/>
    </xf>
    <xf numFmtId="0" fontId="28" fillId="27" borderId="269" xfId="0" applyFont="1" applyFill="1" applyBorder="1" applyAlignment="1" applyProtection="1">
      <alignment horizontal="center" vertical="center"/>
      <protection hidden="1"/>
    </xf>
    <xf numFmtId="0" fontId="28" fillId="27" borderId="270" xfId="0" applyFont="1" applyFill="1" applyBorder="1" applyAlignment="1" applyProtection="1">
      <alignment horizontal="center" vertical="center"/>
      <protection hidden="1"/>
    </xf>
    <xf numFmtId="0" fontId="28" fillId="27" borderId="271" xfId="0" applyFont="1" applyFill="1" applyBorder="1" applyAlignment="1" applyProtection="1">
      <alignment horizontal="center" vertical="center"/>
      <protection hidden="1"/>
    </xf>
    <xf numFmtId="181" fontId="26" fillId="27" borderId="15" xfId="0" applyNumberFormat="1" applyFont="1" applyFill="1" applyBorder="1" applyAlignment="1" applyProtection="1">
      <alignment horizontal="center" vertical="center" wrapText="1"/>
      <protection hidden="1"/>
    </xf>
    <xf numFmtId="0" fontId="45" fillId="27" borderId="15" xfId="0" applyFont="1" applyFill="1" applyBorder="1" applyAlignment="1" applyProtection="1">
      <alignment vertical="center"/>
      <protection hidden="1"/>
    </xf>
    <xf numFmtId="0" fontId="33" fillId="0" borderId="26" xfId="0" applyFont="1" applyFill="1" applyBorder="1" applyAlignment="1" applyProtection="1">
      <alignment horizontal="left" vertical="center"/>
      <protection locked="0"/>
    </xf>
    <xf numFmtId="0" fontId="33" fillId="0" borderId="50"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3" fillId="27" borderId="26" xfId="0" applyFont="1" applyFill="1" applyBorder="1" applyAlignment="1" applyProtection="1">
      <alignment horizontal="left" vertical="center" shrinkToFit="1"/>
    </xf>
    <xf numFmtId="0" fontId="33" fillId="27" borderId="50" xfId="0" applyFont="1" applyFill="1" applyBorder="1" applyAlignment="1" applyProtection="1">
      <alignment horizontal="left" vertical="center" shrinkToFit="1"/>
    </xf>
    <xf numFmtId="0" fontId="33" fillId="27" borderId="27" xfId="0" applyFont="1" applyFill="1" applyBorder="1" applyAlignment="1" applyProtection="1">
      <alignment horizontal="left" vertical="center" shrinkToFit="1"/>
    </xf>
    <xf numFmtId="0" fontId="33" fillId="0" borderId="26" xfId="0" applyFont="1" applyFill="1" applyBorder="1" applyAlignment="1" applyProtection="1">
      <alignment horizontal="left" vertical="center" wrapText="1" shrinkToFit="1"/>
      <protection locked="0"/>
    </xf>
    <xf numFmtId="0" fontId="33" fillId="0" borderId="27" xfId="0" applyFont="1" applyFill="1" applyBorder="1" applyAlignment="1" applyProtection="1">
      <alignment horizontal="left" vertical="center" wrapText="1" shrinkToFit="1"/>
      <protection locked="0"/>
    </xf>
    <xf numFmtId="0" fontId="45" fillId="0" borderId="217" xfId="29" applyNumberFormat="1" applyFont="1" applyFill="1" applyBorder="1" applyAlignment="1" applyProtection="1">
      <alignment horizontal="center" vertical="center"/>
      <protection hidden="1"/>
    </xf>
    <xf numFmtId="0" fontId="45" fillId="0" borderId="218" xfId="29" applyNumberFormat="1" applyFont="1" applyFill="1" applyBorder="1" applyAlignment="1" applyProtection="1">
      <alignment horizontal="center" vertical="center"/>
      <protection hidden="1"/>
    </xf>
    <xf numFmtId="0" fontId="45" fillId="0" borderId="219" xfId="29" applyNumberFormat="1" applyFont="1" applyFill="1" applyBorder="1" applyAlignment="1" applyProtection="1">
      <alignment horizontal="center" vertical="center"/>
      <protection hidden="1"/>
    </xf>
    <xf numFmtId="0" fontId="36" fillId="0" borderId="0" xfId="0" applyFont="1" applyFill="1" applyBorder="1" applyAlignment="1" applyProtection="1">
      <alignment horizontal="left" shrinkToFit="1"/>
      <protection hidden="1"/>
    </xf>
    <xf numFmtId="0" fontId="0" fillId="0" borderId="0" xfId="0" applyAlignment="1">
      <alignment horizontal="left" shrinkToFit="1"/>
    </xf>
    <xf numFmtId="0" fontId="29" fillId="0" borderId="65" xfId="0" applyFont="1" applyFill="1" applyBorder="1" applyAlignment="1" applyProtection="1">
      <alignment horizontal="left" vertical="top" wrapText="1"/>
      <protection hidden="1"/>
    </xf>
    <xf numFmtId="0" fontId="29" fillId="29" borderId="66" xfId="0" applyFont="1" applyFill="1" applyBorder="1" applyAlignment="1" applyProtection="1">
      <alignment horizontal="left" vertical="top" wrapText="1"/>
      <protection hidden="1"/>
    </xf>
    <xf numFmtId="0" fontId="29" fillId="29" borderId="84" xfId="0" applyFont="1" applyFill="1" applyBorder="1" applyAlignment="1" applyProtection="1">
      <alignment horizontal="left" vertical="top" wrapText="1"/>
      <protection hidden="1"/>
    </xf>
    <xf numFmtId="0" fontId="29" fillId="0" borderId="83" xfId="0" applyFont="1" applyFill="1" applyBorder="1" applyAlignment="1" applyProtection="1">
      <alignment horizontal="left" vertical="top" wrapText="1"/>
      <protection hidden="1"/>
    </xf>
    <xf numFmtId="0" fontId="29" fillId="29" borderId="67" xfId="0" applyFont="1" applyFill="1" applyBorder="1" applyAlignment="1" applyProtection="1">
      <alignment horizontal="left" vertical="top" wrapText="1"/>
      <protection hidden="1"/>
    </xf>
    <xf numFmtId="55" fontId="33" fillId="0" borderId="81" xfId="0" applyNumberFormat="1" applyFont="1" applyFill="1" applyBorder="1" applyAlignment="1" applyProtection="1">
      <alignment horizontal="left" vertical="center"/>
      <protection hidden="1"/>
    </xf>
    <xf numFmtId="0" fontId="0" fillId="0" borderId="50" xfId="0" applyBorder="1">
      <alignment vertical="center"/>
    </xf>
    <xf numFmtId="0" fontId="29" fillId="0" borderId="77" xfId="0" applyFont="1" applyFill="1" applyBorder="1" applyAlignment="1">
      <alignment horizontal="left" vertical="top" wrapText="1"/>
    </xf>
    <xf numFmtId="0" fontId="29" fillId="0" borderId="57" xfId="0" applyFont="1" applyFill="1" applyBorder="1" applyAlignment="1">
      <alignment horizontal="left" vertical="top" wrapText="1"/>
    </xf>
    <xf numFmtId="0" fontId="29" fillId="0" borderId="58" xfId="0" applyFont="1" applyFill="1" applyBorder="1" applyAlignment="1">
      <alignment horizontal="left" vertical="top" wrapText="1"/>
    </xf>
    <xf numFmtId="0" fontId="29" fillId="0" borderId="57" xfId="0" applyFont="1" applyFill="1" applyBorder="1" applyAlignment="1" applyProtection="1">
      <alignment horizontal="left" vertical="top" wrapText="1"/>
      <protection hidden="1"/>
    </xf>
    <xf numFmtId="0" fontId="29" fillId="29" borderId="57" xfId="0" applyFont="1" applyFill="1" applyBorder="1" applyAlignment="1" applyProtection="1">
      <alignment horizontal="left" vertical="top" wrapText="1"/>
      <protection hidden="1"/>
    </xf>
    <xf numFmtId="0" fontId="29" fillId="29" borderId="79" xfId="0" applyFont="1" applyFill="1" applyBorder="1" applyAlignment="1" applyProtection="1">
      <alignment horizontal="left" vertical="top" wrapText="1"/>
      <protection hidden="1"/>
    </xf>
    <xf numFmtId="0" fontId="29" fillId="0" borderId="77" xfId="0" applyFont="1" applyFill="1" applyBorder="1" applyAlignment="1" applyProtection="1">
      <alignment horizontal="left" vertical="top" wrapText="1"/>
      <protection hidden="1"/>
    </xf>
    <xf numFmtId="0" fontId="29" fillId="29" borderId="58" xfId="0" applyFont="1" applyFill="1" applyBorder="1" applyAlignment="1" applyProtection="1">
      <alignment horizontal="left" vertical="top" wrapText="1"/>
      <protection hidden="1"/>
    </xf>
    <xf numFmtId="0" fontId="66" fillId="0" borderId="62" xfId="0" applyFont="1" applyFill="1" applyBorder="1" applyAlignment="1" applyProtection="1">
      <alignment horizontal="left" vertical="center" wrapText="1"/>
      <protection hidden="1"/>
    </xf>
    <xf numFmtId="0" fontId="66" fillId="0" borderId="0" xfId="0" applyFont="1" applyFill="1" applyBorder="1" applyAlignment="1" applyProtection="1">
      <alignment horizontal="left" vertical="center" wrapText="1"/>
      <protection hidden="1"/>
    </xf>
    <xf numFmtId="0" fontId="66" fillId="0" borderId="63" xfId="0" applyFont="1" applyFill="1" applyBorder="1" applyAlignment="1" applyProtection="1">
      <alignment horizontal="left" vertical="center" wrapText="1"/>
      <protection hidden="1"/>
    </xf>
    <xf numFmtId="0" fontId="66" fillId="0" borderId="65" xfId="0" applyFont="1" applyFill="1" applyBorder="1" applyAlignment="1" applyProtection="1">
      <alignment horizontal="left" vertical="center" wrapText="1"/>
      <protection hidden="1"/>
    </xf>
    <xf numFmtId="0" fontId="66" fillId="0" borderId="66" xfId="0" applyFont="1" applyFill="1" applyBorder="1" applyAlignment="1" applyProtection="1">
      <alignment horizontal="left" vertical="center" wrapText="1"/>
      <protection hidden="1"/>
    </xf>
    <xf numFmtId="0" fontId="66" fillId="0" borderId="67" xfId="0" applyFont="1" applyFill="1" applyBorder="1" applyAlignment="1" applyProtection="1">
      <alignment horizontal="left" vertical="center" wrapText="1"/>
      <protection hidden="1"/>
    </xf>
    <xf numFmtId="0" fontId="29" fillId="0" borderId="56" xfId="0" applyFont="1" applyFill="1" applyBorder="1" applyAlignment="1" applyProtection="1">
      <alignment horizontal="left" vertical="top" wrapText="1"/>
      <protection hidden="1"/>
    </xf>
    <xf numFmtId="0" fontId="113" fillId="0" borderId="0" xfId="0" applyFont="1" applyFill="1" applyBorder="1" applyAlignment="1" applyProtection="1">
      <alignment horizontal="left" wrapText="1" shrinkToFit="1"/>
      <protection hidden="1"/>
    </xf>
    <xf numFmtId="0" fontId="113" fillId="0" borderId="66" xfId="0" applyFont="1" applyFill="1" applyBorder="1" applyAlignment="1" applyProtection="1">
      <alignment horizontal="left" wrapText="1" shrinkToFit="1"/>
      <protection hidden="1"/>
    </xf>
    <xf numFmtId="0" fontId="169" fillId="49" borderId="59" xfId="0" applyFont="1" applyFill="1" applyBorder="1" applyAlignment="1">
      <alignment horizontal="left" vertical="center"/>
    </xf>
    <xf numFmtId="0" fontId="169" fillId="49" borderId="60" xfId="0" applyFont="1" applyFill="1" applyBorder="1" applyAlignment="1">
      <alignment horizontal="left" vertical="center"/>
    </xf>
    <xf numFmtId="0" fontId="23" fillId="0" borderId="60" xfId="0" applyFont="1" applyBorder="1" applyAlignment="1">
      <alignment horizontal="right" vertical="center"/>
    </xf>
    <xf numFmtId="177" fontId="0" fillId="0" borderId="248" xfId="0" applyNumberFormat="1" applyBorder="1" applyAlignment="1">
      <alignment horizontal="center" vertical="center"/>
    </xf>
    <xf numFmtId="177" fontId="0" fillId="0" borderId="258" xfId="0" applyNumberFormat="1" applyBorder="1" applyAlignment="1">
      <alignment horizontal="center" vertical="center"/>
    </xf>
    <xf numFmtId="0" fontId="0" fillId="0" borderId="157" xfId="0" applyBorder="1" applyAlignment="1">
      <alignment horizontal="left" vertical="center"/>
    </xf>
    <xf numFmtId="0" fontId="0" fillId="0" borderId="128" xfId="0" applyBorder="1" applyAlignment="1">
      <alignment horizontal="left" vertical="center"/>
    </xf>
    <xf numFmtId="0" fontId="169" fillId="49" borderId="72" xfId="0" applyFont="1" applyFill="1" applyBorder="1" applyAlignment="1">
      <alignment horizontal="left" vertical="center"/>
    </xf>
    <xf numFmtId="0" fontId="169" fillId="49" borderId="73" xfId="0" applyFont="1" applyFill="1" applyBorder="1" applyAlignment="1">
      <alignment horizontal="left" vertical="center"/>
    </xf>
    <xf numFmtId="0" fontId="169" fillId="49" borderId="246" xfId="0" applyFont="1" applyFill="1" applyBorder="1" applyAlignment="1">
      <alignment horizontal="left" vertical="center"/>
    </xf>
    <xf numFmtId="0" fontId="0" fillId="0" borderId="52" xfId="0" applyBorder="1" applyAlignment="1">
      <alignment horizontal="left" vertical="center"/>
    </xf>
    <xf numFmtId="0" fontId="0" fillId="0" borderId="53" xfId="0" applyBorder="1" applyAlignment="1">
      <alignment horizontal="left" vertical="center"/>
    </xf>
    <xf numFmtId="0" fontId="0" fillId="0" borderId="26" xfId="0" applyBorder="1" applyAlignment="1">
      <alignment horizontal="left" vertical="center"/>
    </xf>
    <xf numFmtId="0" fontId="0" fillId="0" borderId="50" xfId="0" applyBorder="1" applyAlignment="1">
      <alignment horizontal="left" vertical="center"/>
    </xf>
    <xf numFmtId="0" fontId="0" fillId="0" borderId="83" xfId="0" applyBorder="1" applyAlignment="1">
      <alignment horizontal="left" vertical="center"/>
    </xf>
    <xf numFmtId="0" fontId="0" fillId="0" borderId="66" xfId="0" applyBorder="1" applyAlignment="1">
      <alignment horizontal="left" vertical="center"/>
    </xf>
    <xf numFmtId="0" fontId="33" fillId="0" borderId="51" xfId="0" applyFont="1" applyBorder="1" applyAlignment="1">
      <alignment horizontal="center" vertical="center" shrinkToFit="1"/>
    </xf>
    <xf numFmtId="0" fontId="33" fillId="0" borderId="55" xfId="0" applyFont="1" applyBorder="1" applyAlignment="1">
      <alignment horizontal="center" vertical="center" shrinkToFit="1"/>
    </xf>
    <xf numFmtId="38" fontId="0" fillId="0" borderId="51" xfId="35" applyFont="1" applyBorder="1" applyAlignment="1">
      <alignment horizontal="center" vertical="center"/>
    </xf>
    <xf numFmtId="38" fontId="0" fillId="0" borderId="15" xfId="35" applyFont="1" applyBorder="1" applyAlignment="1">
      <alignment horizontal="center" vertical="center"/>
    </xf>
    <xf numFmtId="0" fontId="0" fillId="0" borderId="51" xfId="0" applyBorder="1" applyAlignment="1">
      <alignment horizontal="center" vertical="center"/>
    </xf>
    <xf numFmtId="0" fontId="0" fillId="0" borderId="15" xfId="0" applyBorder="1" applyAlignment="1">
      <alignment horizontal="center" vertical="center"/>
    </xf>
    <xf numFmtId="0" fontId="169" fillId="55" borderId="59" xfId="0" applyFont="1" applyFill="1" applyBorder="1" applyAlignment="1">
      <alignment horizontal="left" vertical="center"/>
    </xf>
    <xf numFmtId="0" fontId="169" fillId="55" borderId="60" xfId="0" applyFont="1" applyFill="1" applyBorder="1" applyAlignment="1">
      <alignment horizontal="left" vertical="center"/>
    </xf>
    <xf numFmtId="0" fontId="169" fillId="55" borderId="61" xfId="0" applyFont="1" applyFill="1" applyBorder="1" applyAlignment="1">
      <alignment horizontal="left" vertical="center"/>
    </xf>
    <xf numFmtId="0" fontId="169" fillId="49" borderId="62" xfId="0" applyFont="1" applyFill="1" applyBorder="1" applyAlignment="1">
      <alignment horizontal="left" vertical="center"/>
    </xf>
    <xf numFmtId="0" fontId="169" fillId="49" borderId="0" xfId="0" applyFont="1" applyFill="1" applyBorder="1" applyAlignment="1">
      <alignment horizontal="left" vertical="center"/>
    </xf>
    <xf numFmtId="0" fontId="23" fillId="0" borderId="0" xfId="0" applyFont="1" applyBorder="1" applyAlignment="1">
      <alignment horizontal="right" vertical="center"/>
    </xf>
    <xf numFmtId="0" fontId="169" fillId="55" borderId="68" xfId="0" applyFont="1" applyFill="1" applyBorder="1" applyAlignment="1">
      <alignment horizontal="left" vertical="center"/>
    </xf>
    <xf numFmtId="0" fontId="169" fillId="55" borderId="69" xfId="0" applyFont="1" applyFill="1" applyBorder="1" applyAlignment="1">
      <alignment horizontal="left" vertical="center"/>
    </xf>
    <xf numFmtId="0" fontId="169" fillId="55" borderId="71" xfId="0" applyFont="1" applyFill="1" applyBorder="1" applyAlignment="1">
      <alignment horizontal="left"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1" xfId="0" applyBorder="1" applyAlignment="1">
      <alignment horizontal="left" vertical="center"/>
    </xf>
    <xf numFmtId="0" fontId="28" fillId="0" borderId="0" xfId="0" applyFont="1" applyAlignment="1">
      <alignment horizontal="left" vertical="center"/>
    </xf>
    <xf numFmtId="0" fontId="0" fillId="0" borderId="0" xfId="0" applyAlignment="1">
      <alignment horizontal="left" vertical="center"/>
    </xf>
    <xf numFmtId="0" fontId="170" fillId="55" borderId="243" xfId="0" applyFont="1" applyFill="1" applyBorder="1" applyAlignment="1">
      <alignment horizontal="center" vertical="center"/>
    </xf>
    <xf numFmtId="0" fontId="170" fillId="55" borderId="244" xfId="0" applyFont="1" applyFill="1" applyBorder="1" applyAlignment="1">
      <alignment horizontal="center" vertical="center"/>
    </xf>
    <xf numFmtId="0" fontId="95" fillId="0" borderId="65" xfId="0" applyNumberFormat="1" applyFont="1" applyFill="1" applyBorder="1" applyAlignment="1" applyProtection="1">
      <alignment horizontal="left" vertical="center"/>
      <protection hidden="1"/>
    </xf>
    <xf numFmtId="0" fontId="95" fillId="0" borderId="66" xfId="0" applyNumberFormat="1" applyFont="1" applyFill="1" applyBorder="1" applyAlignment="1" applyProtection="1">
      <alignment horizontal="left" vertical="center"/>
      <protection hidden="1"/>
    </xf>
    <xf numFmtId="0" fontId="95" fillId="0" borderId="67" xfId="0" applyNumberFormat="1" applyFont="1" applyFill="1" applyBorder="1" applyAlignment="1" applyProtection="1">
      <alignment horizontal="left" vertical="center"/>
      <protection hidden="1"/>
    </xf>
    <xf numFmtId="0" fontId="171" fillId="0" borderId="0" xfId="0" applyFont="1" applyFill="1" applyBorder="1" applyAlignment="1" applyProtection="1">
      <alignment horizontal="left" vertical="center" wrapText="1"/>
      <protection hidden="1"/>
    </xf>
    <xf numFmtId="182" fontId="28" fillId="0" borderId="62"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62" fillId="37" borderId="69" xfId="0" applyFont="1" applyFill="1" applyBorder="1" applyAlignment="1" applyProtection="1">
      <alignment horizontal="center" vertical="center"/>
      <protection hidden="1"/>
    </xf>
    <xf numFmtId="0" fontId="62" fillId="37" borderId="71" xfId="0" applyFont="1" applyFill="1" applyBorder="1" applyAlignment="1" applyProtection="1">
      <alignment horizontal="center" vertical="center"/>
      <protection hidden="1"/>
    </xf>
    <xf numFmtId="0" fontId="28" fillId="27" borderId="52" xfId="0" applyFont="1" applyFill="1" applyBorder="1" applyAlignment="1" applyProtection="1">
      <alignment horizontal="center" vertical="center" wrapText="1"/>
      <protection hidden="1"/>
    </xf>
    <xf numFmtId="0" fontId="0" fillId="27" borderId="54" xfId="0" applyFill="1" applyBorder="1" applyAlignment="1">
      <alignment vertical="center" wrapText="1"/>
    </xf>
    <xf numFmtId="0" fontId="0" fillId="27" borderId="56" xfId="0" applyFill="1" applyBorder="1" applyAlignment="1">
      <alignment vertical="center" wrapText="1"/>
    </xf>
    <xf numFmtId="0" fontId="0" fillId="27" borderId="58" xfId="0" applyFill="1" applyBorder="1" applyAlignment="1">
      <alignment vertical="center" wrapText="1"/>
    </xf>
    <xf numFmtId="182" fontId="39" fillId="0" borderId="62" xfId="0" applyNumberFormat="1"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3" xfId="0" applyFont="1" applyBorder="1" applyAlignment="1" applyProtection="1">
      <alignment horizontal="left" vertical="top" wrapText="1"/>
      <protection locked="0"/>
    </xf>
    <xf numFmtId="0" fontId="33"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0" fontId="28" fillId="0" borderId="0" xfId="0" applyFont="1" applyFill="1" applyBorder="1" applyAlignment="1" applyProtection="1">
      <alignment horizontal="left" vertical="center"/>
      <protection hidden="1"/>
    </xf>
    <xf numFmtId="0" fontId="0" fillId="0" borderId="0" xfId="0">
      <alignment vertical="center"/>
    </xf>
    <xf numFmtId="182" fontId="28" fillId="0" borderId="89" xfId="0" applyNumberFormat="1" applyFont="1" applyFill="1" applyBorder="1" applyAlignment="1" applyProtection="1">
      <alignment horizontal="left" vertical="top" wrapText="1"/>
      <protection locked="0"/>
    </xf>
    <xf numFmtId="182" fontId="28" fillId="0" borderId="53" xfId="0" applyNumberFormat="1" applyFont="1" applyFill="1" applyBorder="1" applyAlignment="1" applyProtection="1">
      <alignment horizontal="left" vertical="top" wrapText="1"/>
      <protection locked="0"/>
    </xf>
    <xf numFmtId="182" fontId="28" fillId="0" borderId="90" xfId="0" applyNumberFormat="1" applyFont="1" applyFill="1"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33"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182" fontId="28" fillId="0" borderId="77" xfId="0" applyNumberFormat="1" applyFont="1" applyFill="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182" fontId="28" fillId="0" borderId="148" xfId="0" applyNumberFormat="1"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216" xfId="0" applyBorder="1" applyAlignment="1" applyProtection="1">
      <alignment horizontal="left" vertical="top" wrapText="1"/>
      <protection locked="0"/>
    </xf>
    <xf numFmtId="182" fontId="28" fillId="0" borderId="0" xfId="0" applyNumberFormat="1" applyFont="1" applyFill="1" applyBorder="1" applyAlignment="1" applyProtection="1">
      <alignment horizontal="left" vertical="top" wrapText="1"/>
      <protection locked="0"/>
    </xf>
    <xf numFmtId="182" fontId="28" fillId="0" borderId="63" xfId="0" applyNumberFormat="1" applyFont="1" applyFill="1" applyBorder="1" applyAlignment="1" applyProtection="1">
      <alignment horizontal="left" vertical="top" wrapText="1"/>
      <protection locked="0"/>
    </xf>
    <xf numFmtId="0" fontId="33"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3" fillId="27" borderId="26" xfId="0" applyNumberFormat="1" applyFont="1" applyFill="1" applyBorder="1" applyAlignment="1" applyProtection="1">
      <alignment horizontal="left" vertical="center" shrinkToFit="1"/>
      <protection hidden="1"/>
    </xf>
    <xf numFmtId="0" fontId="0" fillId="41" borderId="214" xfId="0" applyFill="1" applyBorder="1" applyAlignment="1" applyProtection="1">
      <alignment horizontal="left" vertical="top" wrapText="1"/>
      <protection locked="0"/>
    </xf>
    <xf numFmtId="0" fontId="0" fillId="41" borderId="215" xfId="0" applyFill="1" applyBorder="1" applyAlignment="1" applyProtection="1">
      <alignment horizontal="left" vertical="top" wrapText="1"/>
      <protection locked="0"/>
    </xf>
    <xf numFmtId="0" fontId="0" fillId="41" borderId="213" xfId="0" applyFill="1" applyBorder="1" applyAlignment="1" applyProtection="1">
      <alignment horizontal="left" vertical="top" wrapText="1"/>
      <protection locked="0"/>
    </xf>
    <xf numFmtId="0" fontId="0" fillId="41" borderId="26" xfId="0"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41" borderId="210" xfId="0" applyFill="1" applyBorder="1" applyAlignment="1" applyProtection="1">
      <alignment horizontal="left" vertical="top" wrapText="1"/>
      <protection locked="0"/>
    </xf>
    <xf numFmtId="0" fontId="0" fillId="0" borderId="211" xfId="0" applyBorder="1" applyAlignment="1" applyProtection="1">
      <alignment horizontal="left" vertical="top" wrapText="1"/>
      <protection locked="0"/>
    </xf>
    <xf numFmtId="0" fontId="0" fillId="0" borderId="212" xfId="0" applyBorder="1" applyAlignment="1" applyProtection="1">
      <alignment horizontal="left" vertical="top" wrapText="1"/>
      <protection locked="0"/>
    </xf>
    <xf numFmtId="0" fontId="0" fillId="41" borderId="192" xfId="0" applyFill="1" applyBorder="1" applyAlignment="1" applyProtection="1">
      <alignment horizontal="left" vertical="top" wrapText="1"/>
      <protection locked="0"/>
    </xf>
    <xf numFmtId="0" fontId="0" fillId="41" borderId="193" xfId="0" applyFill="1" applyBorder="1" applyAlignment="1" applyProtection="1">
      <alignment horizontal="left" vertical="top" wrapText="1"/>
      <protection locked="0"/>
    </xf>
    <xf numFmtId="0" fontId="0" fillId="41" borderId="209" xfId="0" applyFill="1" applyBorder="1" applyAlignment="1" applyProtection="1">
      <alignment horizontal="left" vertical="top" wrapText="1"/>
      <protection locked="0"/>
    </xf>
    <xf numFmtId="0" fontId="6" fillId="27" borderId="0" xfId="0" applyFont="1" applyFill="1" applyBorder="1" applyAlignment="1">
      <alignment horizontal="left" vertical="top" wrapText="1"/>
    </xf>
    <xf numFmtId="0" fontId="28" fillId="27" borderId="51" xfId="0" applyFont="1" applyFill="1" applyBorder="1" applyAlignment="1" applyProtection="1">
      <alignment horizontal="left" vertical="top" wrapText="1"/>
    </xf>
    <xf numFmtId="0" fontId="28" fillId="27" borderId="55" xfId="0" applyFont="1" applyFill="1" applyBorder="1" applyAlignment="1" applyProtection="1">
      <alignment horizontal="left" vertical="top" wrapText="1"/>
    </xf>
    <xf numFmtId="0" fontId="28" fillId="27" borderId="15" xfId="0" applyFont="1" applyFill="1" applyBorder="1" applyAlignment="1" applyProtection="1">
      <alignment horizontal="left" vertical="center"/>
    </xf>
    <xf numFmtId="0" fontId="28" fillId="27" borderId="55" xfId="0" applyFont="1" applyFill="1" applyBorder="1" applyAlignment="1" applyProtection="1">
      <alignment horizontal="left" vertical="center"/>
    </xf>
    <xf numFmtId="181" fontId="28" fillId="31" borderId="26" xfId="0" applyNumberFormat="1" applyFont="1" applyFill="1" applyBorder="1" applyAlignment="1" applyProtection="1">
      <alignment horizontal="center" vertical="center"/>
      <protection hidden="1"/>
    </xf>
    <xf numFmtId="181" fontId="28" fillId="31" borderId="27" xfId="0" applyNumberFormat="1" applyFont="1" applyFill="1" applyBorder="1" applyAlignment="1" applyProtection="1">
      <alignment horizontal="center" vertical="center"/>
      <protection hidden="1"/>
    </xf>
    <xf numFmtId="181" fontId="28" fillId="27" borderId="166" xfId="0" applyNumberFormat="1" applyFont="1" applyFill="1" applyBorder="1" applyAlignment="1" applyProtection="1">
      <alignment horizontal="left" vertical="center" wrapText="1"/>
      <protection hidden="1"/>
    </xf>
    <xf numFmtId="0" fontId="6" fillId="38" borderId="167" xfId="0" applyFont="1" applyFill="1" applyBorder="1" applyAlignment="1">
      <alignment horizontal="left" vertical="center" wrapText="1"/>
    </xf>
    <xf numFmtId="181" fontId="28" fillId="27" borderId="171" xfId="0" applyNumberFormat="1" applyFont="1" applyFill="1" applyBorder="1" applyAlignment="1" applyProtection="1">
      <alignment horizontal="left" vertical="center" wrapText="1"/>
      <protection hidden="1"/>
    </xf>
    <xf numFmtId="0" fontId="6" fillId="38" borderId="172" xfId="0" applyFont="1" applyFill="1" applyBorder="1" applyAlignment="1">
      <alignment horizontal="left" vertical="center" wrapText="1"/>
    </xf>
    <xf numFmtId="181" fontId="28" fillId="27" borderId="12" xfId="0" applyNumberFormat="1" applyFont="1" applyFill="1" applyBorder="1" applyAlignment="1" applyProtection="1">
      <alignment horizontal="left" vertical="center" wrapText="1"/>
      <protection hidden="1"/>
    </xf>
    <xf numFmtId="0" fontId="6" fillId="38" borderId="14" xfId="0" applyFont="1" applyFill="1" applyBorder="1" applyAlignment="1">
      <alignment horizontal="left" vertical="center" wrapText="1"/>
    </xf>
    <xf numFmtId="181" fontId="28" fillId="27" borderId="168" xfId="0" applyNumberFormat="1" applyFont="1" applyFill="1" applyBorder="1" applyAlignment="1" applyProtection="1">
      <alignment horizontal="left" vertical="center" wrapText="1"/>
      <protection hidden="1"/>
    </xf>
    <xf numFmtId="181" fontId="28" fillId="31" borderId="26" xfId="0" applyNumberFormat="1" applyFont="1" applyFill="1" applyBorder="1" applyAlignment="1" applyProtection="1">
      <alignment horizontal="center" vertical="center" shrinkToFit="1"/>
      <protection hidden="1"/>
    </xf>
    <xf numFmtId="0" fontId="6" fillId="0" borderId="82" xfId="0" applyFont="1" applyBorder="1" applyAlignment="1">
      <alignment horizontal="center" vertical="center" shrinkToFit="1"/>
    </xf>
    <xf numFmtId="0" fontId="6" fillId="38" borderId="173" xfId="0" applyFont="1" applyFill="1" applyBorder="1" applyAlignment="1">
      <alignment horizontal="left" vertical="center" wrapText="1"/>
    </xf>
    <xf numFmtId="0" fontId="6" fillId="38" borderId="13" xfId="0" applyFont="1" applyFill="1" applyBorder="1" applyAlignment="1">
      <alignment horizontal="left" vertical="center" wrapText="1"/>
    </xf>
    <xf numFmtId="0" fontId="37" fillId="27" borderId="26" xfId="0" applyFont="1" applyFill="1" applyBorder="1" applyAlignment="1" applyProtection="1">
      <alignment horizontal="left" vertical="center" wrapText="1"/>
      <protection hidden="1"/>
    </xf>
    <xf numFmtId="0" fontId="6" fillId="38" borderId="27" xfId="0" applyFont="1" applyFill="1" applyBorder="1" applyAlignment="1">
      <alignment horizontal="left" vertical="center" wrapText="1"/>
    </xf>
    <xf numFmtId="0" fontId="37" fillId="27" borderId="50" xfId="0" applyFont="1" applyFill="1" applyBorder="1" applyAlignment="1" applyProtection="1">
      <alignment horizontal="left" vertical="center" wrapText="1"/>
      <protection hidden="1"/>
    </xf>
    <xf numFmtId="0" fontId="6" fillId="27" borderId="27" xfId="0" applyFont="1" applyFill="1" applyBorder="1" applyAlignment="1">
      <alignment horizontal="left" vertical="center" wrapText="1"/>
    </xf>
    <xf numFmtId="0" fontId="37" fillId="27" borderId="80" xfId="0" applyFont="1" applyFill="1" applyBorder="1" applyAlignment="1" applyProtection="1">
      <alignment horizontal="left" vertical="center" wrapText="1"/>
      <protection hidden="1"/>
    </xf>
    <xf numFmtId="0" fontId="37" fillId="27" borderId="27" xfId="0" applyFont="1" applyFill="1" applyBorder="1" applyAlignment="1" applyProtection="1">
      <alignment horizontal="left" vertical="center" wrapText="1"/>
      <protection hidden="1"/>
    </xf>
    <xf numFmtId="0" fontId="28" fillId="27" borderId="166" xfId="0" applyFont="1" applyFill="1" applyBorder="1" applyAlignment="1">
      <alignment horizontal="left" vertical="center" wrapText="1"/>
    </xf>
    <xf numFmtId="0" fontId="6" fillId="38" borderId="168" xfId="0" applyFont="1" applyFill="1" applyBorder="1" applyAlignment="1">
      <alignment horizontal="left" vertical="center" wrapText="1"/>
    </xf>
    <xf numFmtId="201" fontId="26" fillId="31" borderId="15" xfId="0" applyNumberFormat="1" applyFont="1" applyFill="1" applyBorder="1" applyAlignment="1" applyProtection="1">
      <alignment horizontal="center" vertical="center"/>
      <protection hidden="1"/>
    </xf>
    <xf numFmtId="181" fontId="28" fillId="27" borderId="167"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wrapText="1"/>
      <protection hidden="1"/>
    </xf>
    <xf numFmtId="0" fontId="28" fillId="27" borderId="12" xfId="0" applyFont="1" applyFill="1" applyBorder="1" applyAlignment="1">
      <alignment horizontal="left" vertical="center" wrapText="1"/>
    </xf>
    <xf numFmtId="0" fontId="28" fillId="27" borderId="171" xfId="0" applyFont="1" applyFill="1" applyBorder="1" applyAlignment="1">
      <alignment horizontal="left" vertical="center" wrapText="1"/>
    </xf>
    <xf numFmtId="0" fontId="6" fillId="0" borderId="173" xfId="0" applyFont="1" applyBorder="1" applyAlignment="1">
      <alignment horizontal="left" vertical="center" wrapText="1"/>
    </xf>
    <xf numFmtId="0" fontId="6" fillId="0" borderId="172" xfId="0" applyFont="1" applyBorder="1" applyAlignment="1">
      <alignment horizontal="left" vertical="center" wrapText="1"/>
    </xf>
    <xf numFmtId="181" fontId="28" fillId="27" borderId="173" xfId="0" applyNumberFormat="1" applyFont="1" applyFill="1" applyBorder="1" applyAlignment="1" applyProtection="1">
      <alignment horizontal="left" vertical="center" wrapText="1"/>
      <protection hidden="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181" fontId="28" fillId="27" borderId="171" xfId="0" applyNumberFormat="1" applyFont="1" applyFill="1" applyBorder="1" applyAlignment="1" applyProtection="1">
      <alignment vertical="center" wrapText="1"/>
      <protection hidden="1"/>
    </xf>
    <xf numFmtId="0" fontId="6" fillId="0" borderId="173" xfId="0" applyFont="1" applyBorder="1" applyAlignment="1">
      <alignment vertical="center" wrapText="1"/>
    </xf>
    <xf numFmtId="0" fontId="6" fillId="0" borderId="172" xfId="0" applyFont="1" applyBorder="1" applyAlignment="1">
      <alignment vertical="center" wrapText="1"/>
    </xf>
    <xf numFmtId="181" fontId="28" fillId="27" borderId="172" xfId="0" applyNumberFormat="1" applyFont="1" applyFill="1" applyBorder="1" applyAlignment="1" applyProtection="1">
      <alignment horizontal="left" vertical="center" wrapText="1"/>
      <protection hidden="1"/>
    </xf>
    <xf numFmtId="0" fontId="37" fillId="27" borderId="221" xfId="0" applyFont="1" applyFill="1" applyBorder="1" applyAlignment="1" applyProtection="1">
      <alignment horizontal="left" vertical="center" wrapText="1"/>
      <protection hidden="1"/>
    </xf>
    <xf numFmtId="0" fontId="37" fillId="38" borderId="168" xfId="0" applyFont="1" applyFill="1" applyBorder="1" applyAlignment="1">
      <alignment horizontal="left" vertical="center" wrapText="1"/>
    </xf>
    <xf numFmtId="0" fontId="37" fillId="27" borderId="185" xfId="0" applyFont="1" applyFill="1" applyBorder="1" applyAlignment="1" applyProtection="1">
      <alignment horizontal="left" vertical="center" wrapText="1"/>
      <protection hidden="1"/>
    </xf>
    <xf numFmtId="0" fontId="37" fillId="38" borderId="14" xfId="0" applyFont="1" applyFill="1" applyBorder="1" applyAlignment="1">
      <alignment horizontal="left" vertical="center" wrapText="1"/>
    </xf>
    <xf numFmtId="181" fontId="28" fillId="27" borderId="12" xfId="0" applyNumberFormat="1" applyFont="1" applyFill="1" applyBorder="1" applyAlignment="1" applyProtection="1">
      <alignment vertical="center" wrapText="1"/>
      <protection hidden="1"/>
    </xf>
    <xf numFmtId="0" fontId="6" fillId="38" borderId="13" xfId="0" applyFont="1" applyFill="1" applyBorder="1" applyAlignment="1">
      <alignment vertical="center" wrapText="1"/>
    </xf>
    <xf numFmtId="0" fontId="6" fillId="38" borderId="14" xfId="0" applyFont="1" applyFill="1" applyBorder="1" applyAlignment="1">
      <alignment vertical="center" wrapText="1"/>
    </xf>
    <xf numFmtId="0" fontId="37" fillId="27" borderId="220" xfId="0" applyFont="1" applyFill="1" applyBorder="1" applyAlignment="1" applyProtection="1">
      <alignment horizontal="left" vertical="center" wrapText="1"/>
      <protection hidden="1"/>
    </xf>
    <xf numFmtId="0" fontId="37" fillId="38" borderId="172" xfId="0" applyFont="1" applyFill="1" applyBorder="1" applyAlignment="1">
      <alignment horizontal="left" vertical="center" wrapText="1"/>
    </xf>
    <xf numFmtId="181" fontId="28" fillId="31" borderId="27" xfId="0" applyNumberFormat="1" applyFont="1" applyFill="1" applyBorder="1" applyAlignment="1" applyProtection="1">
      <alignment horizontal="center" vertical="center" wrapText="1"/>
      <protection hidden="1"/>
    </xf>
    <xf numFmtId="181" fontId="28" fillId="31" borderId="10" xfId="0" applyNumberFormat="1" applyFont="1" applyFill="1" applyBorder="1" applyAlignment="1" applyProtection="1">
      <alignment horizontal="center" vertical="center" wrapText="1"/>
      <protection hidden="1"/>
    </xf>
    <xf numFmtId="181" fontId="28" fillId="27" borderId="171" xfId="0" applyNumberFormat="1" applyFont="1" applyFill="1" applyBorder="1" applyAlignment="1" applyProtection="1">
      <alignment horizontal="left" vertical="center" shrinkToFit="1"/>
      <protection hidden="1"/>
    </xf>
    <xf numFmtId="0" fontId="6" fillId="38" borderId="173" xfId="0" applyFont="1" applyFill="1" applyBorder="1" applyAlignment="1">
      <alignment horizontal="left" vertical="center" shrinkToFit="1"/>
    </xf>
    <xf numFmtId="0" fontId="6" fillId="38" borderId="172" xfId="0" applyFont="1" applyFill="1" applyBorder="1" applyAlignment="1">
      <alignment horizontal="left" vertical="center" shrinkToFit="1"/>
    </xf>
    <xf numFmtId="181" fontId="28" fillId="27" borderId="14" xfId="0" applyNumberFormat="1" applyFont="1" applyFill="1" applyBorder="1" applyAlignment="1" applyProtection="1">
      <alignment horizontal="left" vertical="center" wrapText="1"/>
      <protection hidden="1"/>
    </xf>
    <xf numFmtId="0" fontId="6" fillId="38" borderId="173" xfId="0" applyFont="1" applyFill="1" applyBorder="1" applyAlignment="1">
      <alignment vertical="center" wrapText="1"/>
    </xf>
    <xf numFmtId="0" fontId="6" fillId="38" borderId="172" xfId="0" applyFont="1" applyFill="1" applyBorder="1" applyAlignment="1">
      <alignment vertical="center" wrapText="1"/>
    </xf>
    <xf numFmtId="0" fontId="6" fillId="38" borderId="168" xfId="0" applyFont="1" applyFill="1" applyBorder="1">
      <alignment vertical="center"/>
    </xf>
    <xf numFmtId="0" fontId="6" fillId="38" borderId="14" xfId="0" applyFont="1" applyFill="1" applyBorder="1">
      <alignment vertical="center"/>
    </xf>
    <xf numFmtId="0" fontId="6" fillId="38" borderId="172" xfId="0" applyFont="1" applyFill="1" applyBorder="1">
      <alignment vertical="center"/>
    </xf>
    <xf numFmtId="181" fontId="28" fillId="27" borderId="12" xfId="0" applyNumberFormat="1" applyFont="1" applyFill="1" applyBorder="1" applyAlignment="1" applyProtection="1">
      <alignment vertical="center" shrinkToFit="1"/>
      <protection hidden="1"/>
    </xf>
    <xf numFmtId="0" fontId="6" fillId="38" borderId="13" xfId="0" applyFont="1" applyFill="1" applyBorder="1" applyAlignment="1">
      <alignment vertical="center" shrinkToFit="1"/>
    </xf>
    <xf numFmtId="0" fontId="6" fillId="38" borderId="14" xfId="0" applyFont="1" applyFill="1" applyBorder="1" applyAlignment="1">
      <alignment vertical="center" shrinkToFit="1"/>
    </xf>
    <xf numFmtId="203" fontId="26" fillId="31" borderId="92" xfId="0" applyNumberFormat="1" applyFont="1" applyFill="1" applyBorder="1" applyAlignment="1" applyProtection="1">
      <alignment horizontal="center" vertical="center"/>
      <protection locked="0" hidden="1"/>
    </xf>
    <xf numFmtId="203" fontId="26" fillId="31" borderId="115" xfId="0" applyNumberFormat="1" applyFont="1" applyFill="1" applyBorder="1" applyAlignment="1" applyProtection="1">
      <alignment horizontal="center" vertical="center"/>
      <protection locked="0" hidden="1"/>
    </xf>
    <xf numFmtId="181" fontId="28" fillId="42" borderId="12" xfId="0" applyNumberFormat="1" applyFont="1" applyFill="1" applyBorder="1" applyAlignment="1" applyProtection="1">
      <alignment horizontal="left" vertical="center" wrapText="1"/>
      <protection hidden="1"/>
    </xf>
    <xf numFmtId="0" fontId="6" fillId="48" borderId="14" xfId="0" applyFont="1" applyFill="1" applyBorder="1">
      <alignment vertical="center"/>
    </xf>
    <xf numFmtId="181" fontId="28" fillId="42" borderId="13" xfId="0" applyNumberFormat="1" applyFont="1" applyFill="1" applyBorder="1" applyAlignment="1" applyProtection="1">
      <alignment horizontal="left" vertical="center" wrapText="1"/>
      <protection hidden="1"/>
    </xf>
    <xf numFmtId="181" fontId="28" fillId="42" borderId="171" xfId="0" applyNumberFormat="1" applyFont="1" applyFill="1" applyBorder="1" applyAlignment="1" applyProtection="1">
      <alignment horizontal="left" vertical="center" wrapText="1"/>
      <protection hidden="1"/>
    </xf>
    <xf numFmtId="0" fontId="6" fillId="48" borderId="172" xfId="0" applyFont="1" applyFill="1" applyBorder="1" applyAlignment="1">
      <alignment horizontal="left" vertical="center" wrapText="1"/>
    </xf>
    <xf numFmtId="181" fontId="28" fillId="27" borderId="52" xfId="0" applyNumberFormat="1" applyFont="1" applyFill="1" applyBorder="1" applyAlignment="1" applyProtection="1">
      <alignment horizontal="left" vertical="center" wrapText="1"/>
      <protection hidden="1"/>
    </xf>
    <xf numFmtId="181" fontId="28" fillId="27" borderId="54" xfId="0" applyNumberFormat="1" applyFont="1" applyFill="1" applyBorder="1" applyAlignment="1" applyProtection="1">
      <alignment horizontal="left" vertical="center" wrapText="1"/>
      <protection hidden="1"/>
    </xf>
    <xf numFmtId="181" fontId="28" fillId="27" borderId="56" xfId="0" applyNumberFormat="1" applyFont="1" applyFill="1" applyBorder="1" applyAlignment="1" applyProtection="1">
      <alignment horizontal="left" vertical="center" wrapText="1"/>
      <protection hidden="1"/>
    </xf>
    <xf numFmtId="181" fontId="28" fillId="27" borderId="58" xfId="0" applyNumberFormat="1" applyFont="1" applyFill="1" applyBorder="1" applyAlignment="1" applyProtection="1">
      <alignment horizontal="left" vertical="center" wrapText="1"/>
      <protection hidden="1"/>
    </xf>
    <xf numFmtId="0" fontId="20" fillId="38" borderId="14" xfId="0" applyFont="1" applyFill="1" applyBorder="1">
      <alignment vertical="center"/>
    </xf>
    <xf numFmtId="0" fontId="6" fillId="38" borderId="13" xfId="0" applyFont="1" applyFill="1" applyBorder="1">
      <alignment vertical="center"/>
    </xf>
    <xf numFmtId="0" fontId="20" fillId="38" borderId="172" xfId="0" applyFont="1" applyFill="1" applyBorder="1" applyAlignment="1">
      <alignment horizontal="left" vertical="center" wrapText="1"/>
    </xf>
    <xf numFmtId="0" fontId="28" fillId="27" borderId="187" xfId="0" applyFont="1" applyFill="1" applyBorder="1" applyAlignment="1" applyProtection="1">
      <alignment horizontal="left" vertical="center" wrapText="1"/>
      <protection hidden="1"/>
    </xf>
    <xf numFmtId="0" fontId="6" fillId="38" borderId="13" xfId="0" applyFont="1" applyFill="1" applyBorder="1" applyAlignment="1">
      <alignment vertical="center"/>
    </xf>
    <xf numFmtId="0" fontId="6" fillId="38" borderId="14" xfId="0" applyFont="1" applyFill="1" applyBorder="1" applyAlignment="1">
      <alignment vertical="center"/>
    </xf>
    <xf numFmtId="0" fontId="28" fillId="27" borderId="187"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6" fillId="38" borderId="13" xfId="0" applyFont="1" applyFill="1" applyBorder="1" applyAlignment="1">
      <alignment horizontal="left" vertical="center"/>
    </xf>
    <xf numFmtId="181" fontId="28" fillId="27" borderId="13" xfId="0" applyNumberFormat="1" applyFont="1" applyFill="1" applyBorder="1" applyAlignment="1" applyProtection="1">
      <alignment horizontal="left" vertical="center"/>
      <protection hidden="1"/>
    </xf>
    <xf numFmtId="0" fontId="6" fillId="38" borderId="14" xfId="0" applyFont="1" applyFill="1" applyBorder="1" applyAlignment="1">
      <alignment horizontal="left" vertical="center"/>
    </xf>
    <xf numFmtId="181" fontId="28" fillId="27" borderId="166"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0" fontId="28" fillId="27" borderId="171" xfId="0" applyFont="1" applyFill="1" applyBorder="1" applyAlignment="1" applyProtection="1">
      <alignment horizontal="left" vertical="center" wrapText="1"/>
      <protection hidden="1"/>
    </xf>
    <xf numFmtId="0" fontId="0" fillId="38" borderId="173" xfId="0" applyFill="1" applyBorder="1" applyAlignment="1">
      <alignment horizontal="left" vertical="center" wrapText="1"/>
    </xf>
    <xf numFmtId="0" fontId="0" fillId="38" borderId="172" xfId="0" applyFill="1" applyBorder="1" applyAlignment="1">
      <alignment horizontal="left" vertical="center" wrapText="1"/>
    </xf>
    <xf numFmtId="0" fontId="28" fillId="27" borderId="177" xfId="0" applyFont="1" applyFill="1" applyBorder="1" applyAlignment="1" applyProtection="1">
      <alignment horizontal="lef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28" fillId="27" borderId="12" xfId="0" applyFont="1" applyFill="1" applyBorder="1" applyAlignment="1" applyProtection="1">
      <alignment horizontal="left" vertical="center" wrapText="1"/>
      <protection hidden="1"/>
    </xf>
    <xf numFmtId="0" fontId="28" fillId="27" borderId="80" xfId="0" applyFont="1" applyFill="1" applyBorder="1" applyAlignment="1">
      <alignment horizontal="left" vertical="center" wrapText="1"/>
    </xf>
    <xf numFmtId="0" fontId="6" fillId="38" borderId="50" xfId="0" applyFont="1" applyFill="1" applyBorder="1" applyAlignment="1">
      <alignment horizontal="left" vertical="center" wrapText="1"/>
    </xf>
    <xf numFmtId="195" fontId="45" fillId="27" borderId="50" xfId="0" applyNumberFormat="1" applyFont="1" applyFill="1" applyBorder="1" applyAlignment="1" applyProtection="1">
      <alignment horizontal="center" vertical="center" wrapText="1"/>
      <protection hidden="1"/>
    </xf>
    <xf numFmtId="181" fontId="28" fillId="27" borderId="64" xfId="0" applyNumberFormat="1" applyFont="1" applyFill="1" applyBorder="1" applyAlignment="1" applyProtection="1">
      <alignment horizontal="left" vertical="center" wrapText="1"/>
      <protection hidden="1"/>
    </xf>
    <xf numFmtId="0" fontId="6" fillId="38" borderId="17" xfId="0" applyFont="1" applyFill="1" applyBorder="1" applyAlignment="1">
      <alignment horizontal="left" vertical="center" wrapText="1"/>
    </xf>
    <xf numFmtId="0" fontId="6" fillId="38" borderId="64" xfId="0" applyFont="1" applyFill="1" applyBorder="1" applyAlignment="1">
      <alignment horizontal="left" vertical="center" wrapText="1"/>
    </xf>
    <xf numFmtId="0" fontId="6" fillId="38" borderId="56" xfId="0" applyFont="1" applyFill="1" applyBorder="1" applyAlignment="1">
      <alignment horizontal="left" vertical="center" wrapText="1"/>
    </xf>
    <xf numFmtId="0" fontId="6" fillId="38" borderId="58" xfId="0" applyFont="1" applyFill="1" applyBorder="1" applyAlignment="1">
      <alignment horizontal="left" vertical="center" wrapText="1"/>
    </xf>
    <xf numFmtId="0" fontId="28" fillId="27" borderId="26" xfId="0" applyFont="1" applyFill="1" applyBorder="1" applyAlignment="1" applyProtection="1">
      <alignment horizontal="left" vertical="center" wrapText="1"/>
      <protection hidden="1"/>
    </xf>
    <xf numFmtId="0" fontId="28" fillId="27" borderId="27" xfId="0" applyFont="1" applyFill="1" applyBorder="1" applyAlignment="1" applyProtection="1">
      <alignment horizontal="left" vertical="center" wrapText="1"/>
      <protection hidden="1"/>
    </xf>
    <xf numFmtId="0" fontId="28" fillId="27" borderId="10" xfId="0" applyFont="1" applyFill="1" applyBorder="1" applyAlignment="1" applyProtection="1">
      <alignment horizontal="left" vertical="center" wrapText="1"/>
      <protection hidden="1"/>
    </xf>
    <xf numFmtId="0" fontId="28" fillId="27" borderId="187" xfId="0" applyFont="1" applyFill="1" applyBorder="1" applyAlignment="1" applyProtection="1">
      <alignment vertical="center" wrapText="1"/>
      <protection hidden="1"/>
    </xf>
    <xf numFmtId="0" fontId="6" fillId="0" borderId="27" xfId="0" applyFont="1" applyBorder="1" applyAlignment="1">
      <alignment horizontal="center" vertical="center" shrinkToFit="1"/>
    </xf>
    <xf numFmtId="0" fontId="28" fillId="27" borderId="188" xfId="0" applyFont="1" applyFill="1" applyBorder="1" applyAlignment="1" applyProtection="1">
      <alignment horizontal="left" vertical="center" wrapText="1"/>
      <protection hidden="1"/>
    </xf>
    <xf numFmtId="0" fontId="28" fillId="27" borderId="186" xfId="0" applyFont="1" applyFill="1" applyBorder="1" applyAlignment="1" applyProtection="1">
      <alignment horizontal="left" vertical="center"/>
      <protection hidden="1"/>
    </xf>
    <xf numFmtId="0" fontId="6" fillId="38" borderId="167" xfId="0" applyFont="1" applyFill="1" applyBorder="1" applyAlignment="1">
      <alignment vertical="center"/>
    </xf>
    <xf numFmtId="0" fontId="6" fillId="38" borderId="168" xfId="0" applyFont="1" applyFill="1" applyBorder="1" applyAlignment="1">
      <alignment vertical="center"/>
    </xf>
    <xf numFmtId="0" fontId="28" fillId="38" borderId="173" xfId="0" applyFont="1" applyFill="1" applyBorder="1" applyAlignment="1">
      <alignment vertical="center" wrapText="1"/>
    </xf>
    <xf numFmtId="0" fontId="28" fillId="38" borderId="172" xfId="0" applyFont="1" applyFill="1" applyBorder="1" applyAlignment="1">
      <alignment vertical="center" wrapText="1"/>
    </xf>
    <xf numFmtId="0" fontId="28" fillId="27" borderId="50" xfId="0" applyFont="1" applyFill="1" applyBorder="1" applyAlignment="1">
      <alignment horizontal="left" vertical="center" wrapText="1"/>
    </xf>
    <xf numFmtId="0" fontId="28" fillId="27" borderId="27" xfId="0" applyFont="1" applyFill="1" applyBorder="1" applyAlignment="1">
      <alignment horizontal="left" vertical="center" wrapText="1"/>
    </xf>
    <xf numFmtId="181" fontId="28" fillId="42" borderId="172" xfId="0" applyNumberFormat="1" applyFont="1" applyFill="1" applyBorder="1" applyAlignment="1" applyProtection="1">
      <alignment horizontal="left" vertical="center" wrapText="1"/>
      <protection hidden="1"/>
    </xf>
    <xf numFmtId="0" fontId="6" fillId="38" borderId="167" xfId="0" applyFont="1" applyFill="1" applyBorder="1" applyAlignment="1">
      <alignment vertical="center" wrapText="1"/>
    </xf>
    <xf numFmtId="0" fontId="6" fillId="38" borderId="168" xfId="0" applyFont="1" applyFill="1" applyBorder="1" applyAlignment="1">
      <alignment vertical="center" wrapText="1"/>
    </xf>
    <xf numFmtId="181" fontId="28" fillId="42" borderId="166" xfId="0" applyNumberFormat="1" applyFont="1" applyFill="1" applyBorder="1" applyAlignment="1" applyProtection="1">
      <alignment horizontal="left" vertical="center" wrapText="1"/>
      <protection hidden="1"/>
    </xf>
    <xf numFmtId="181" fontId="28" fillId="42" borderId="168" xfId="0" applyNumberFormat="1" applyFont="1" applyFill="1" applyBorder="1" applyAlignment="1" applyProtection="1">
      <alignment horizontal="left" vertical="center" wrapText="1"/>
      <protection hidden="1"/>
    </xf>
    <xf numFmtId="181" fontId="28" fillId="42" borderId="14" xfId="0" applyNumberFormat="1" applyFont="1" applyFill="1" applyBorder="1" applyAlignment="1" applyProtection="1">
      <alignment horizontal="left" vertical="center" wrapText="1"/>
      <protection hidden="1"/>
    </xf>
    <xf numFmtId="0" fontId="0" fillId="0" borderId="167" xfId="0" applyBorder="1" applyAlignment="1">
      <alignment horizontal="left" vertical="center" wrapText="1"/>
    </xf>
    <xf numFmtId="0" fontId="0" fillId="0" borderId="168"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206" fontId="23" fillId="27" borderId="190" xfId="0" applyNumberFormat="1" applyFont="1" applyFill="1" applyBorder="1" applyAlignment="1" applyProtection="1">
      <alignment horizontal="center" vertical="center"/>
      <protection locked="0" hidden="1"/>
    </xf>
    <xf numFmtId="206" fontId="23" fillId="27" borderId="222" xfId="0" applyNumberFormat="1" applyFont="1" applyFill="1" applyBorder="1" applyAlignment="1" applyProtection="1">
      <alignment horizontal="center" vertical="center"/>
      <protection locked="0" hidden="1"/>
    </xf>
    <xf numFmtId="0" fontId="0" fillId="38" borderId="17" xfId="0" applyFill="1" applyBorder="1" applyAlignment="1">
      <alignment horizontal="left" vertical="center" wrapText="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0" fillId="38" borderId="58" xfId="0" applyFill="1" applyBorder="1" applyAlignment="1">
      <alignment horizontal="left" vertical="center" wrapText="1"/>
    </xf>
    <xf numFmtId="0" fontId="28"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0" fontId="28" fillId="27" borderId="166" xfId="0" applyFont="1" applyFill="1" applyBorder="1" applyAlignment="1" applyProtection="1">
      <alignment horizontal="left" vertical="center" wrapText="1"/>
      <protection hidden="1"/>
    </xf>
    <xf numFmtId="0" fontId="0" fillId="38" borderId="167" xfId="0" applyFill="1" applyBorder="1" applyAlignment="1">
      <alignment horizontal="left" vertical="center" wrapText="1"/>
    </xf>
    <xf numFmtId="0" fontId="0" fillId="38" borderId="168" xfId="0" applyFill="1" applyBorder="1" applyAlignment="1">
      <alignment horizontal="left" vertical="center" wrapText="1"/>
    </xf>
    <xf numFmtId="0" fontId="0" fillId="38" borderId="115" xfId="0" applyFill="1" applyBorder="1" applyAlignment="1">
      <alignment horizontal="center" vertical="center"/>
    </xf>
    <xf numFmtId="0" fontId="28"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77" xfId="0" applyFill="1" applyBorder="1" applyAlignment="1">
      <alignment horizontal="left" vertical="center" wrapText="1"/>
    </xf>
    <xf numFmtId="0" fontId="6" fillId="38" borderId="173" xfId="0" applyFont="1" applyFill="1" applyBorder="1" applyAlignment="1">
      <alignment vertical="center"/>
    </xf>
    <xf numFmtId="0" fontId="6" fillId="38" borderId="172" xfId="0" applyFont="1" applyFill="1" applyBorder="1" applyAlignment="1">
      <alignment vertical="center"/>
    </xf>
    <xf numFmtId="0" fontId="28" fillId="27" borderId="77" xfId="0" applyFont="1" applyFill="1" applyBorder="1" applyAlignment="1" applyProtection="1">
      <alignment horizontal="left" vertical="center" wrapText="1"/>
      <protection hidden="1"/>
    </xf>
    <xf numFmtId="0" fontId="6" fillId="38" borderId="57" xfId="0" applyFont="1" applyFill="1" applyBorder="1" applyAlignment="1">
      <alignment vertical="center"/>
    </xf>
    <xf numFmtId="0" fontId="6" fillId="38" borderId="58" xfId="0" applyFont="1" applyFill="1" applyBorder="1" applyAlignment="1">
      <alignment vertical="center"/>
    </xf>
    <xf numFmtId="0" fontId="28" fillId="27" borderId="186" xfId="0" applyFont="1" applyFill="1" applyBorder="1" applyAlignment="1" applyProtection="1">
      <alignment horizontal="left" vertical="center" wrapText="1"/>
      <protection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181" fontId="28" fillId="27" borderId="26" xfId="0" applyNumberFormat="1" applyFont="1" applyFill="1" applyBorder="1" applyAlignment="1" applyProtection="1">
      <alignment horizontal="center" vertical="top" shrinkToFit="1"/>
      <protection hidden="1"/>
    </xf>
    <xf numFmtId="181" fontId="28" fillId="27" borderId="171" xfId="0" applyNumberFormat="1" applyFont="1" applyFill="1" applyBorder="1" applyAlignment="1" applyProtection="1">
      <alignment horizontal="left" vertical="center"/>
      <protection hidden="1"/>
    </xf>
    <xf numFmtId="0" fontId="6" fillId="38" borderId="173" xfId="0" applyFont="1" applyFill="1" applyBorder="1" applyAlignment="1">
      <alignment horizontal="left" vertical="center"/>
    </xf>
    <xf numFmtId="181" fontId="28" fillId="27" borderId="173" xfId="0" applyNumberFormat="1" applyFont="1" applyFill="1" applyBorder="1" applyAlignment="1" applyProtection="1">
      <alignment horizontal="left" vertical="center"/>
      <protection hidden="1"/>
    </xf>
    <xf numFmtId="0" fontId="6" fillId="38" borderId="172" xfId="0" applyFont="1" applyFill="1" applyBorder="1" applyAlignment="1">
      <alignment horizontal="left" vertical="center"/>
    </xf>
    <xf numFmtId="0" fontId="0" fillId="0" borderId="50" xfId="0" applyBorder="1" applyAlignment="1">
      <alignment horizontal="left" vertical="center" wrapText="1"/>
    </xf>
    <xf numFmtId="0" fontId="0" fillId="0" borderId="27" xfId="0" applyBorder="1" applyAlignment="1">
      <alignment horizontal="left" vertical="center" wrapText="1"/>
    </xf>
    <xf numFmtId="0" fontId="28" fillId="27" borderId="50" xfId="0" applyFont="1" applyFill="1" applyBorder="1" applyAlignment="1" applyProtection="1">
      <alignment horizontal="left" vertical="center" wrapText="1"/>
      <protection hidden="1"/>
    </xf>
    <xf numFmtId="0" fontId="6" fillId="38" borderId="168" xfId="0" applyFont="1" applyFill="1" applyBorder="1" applyAlignment="1">
      <alignment horizontal="left" vertical="center"/>
    </xf>
    <xf numFmtId="0" fontId="0" fillId="38" borderId="13"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38" borderId="173" xfId="0" applyFont="1" applyFill="1" applyBorder="1" applyAlignment="1">
      <alignment horizontal="left" vertical="center" wrapText="1"/>
    </xf>
    <xf numFmtId="0" fontId="0" fillId="0" borderId="173" xfId="0" applyFont="1" applyBorder="1" applyAlignment="1">
      <alignment horizontal="left" vertical="center" wrapText="1"/>
    </xf>
    <xf numFmtId="0" fontId="0" fillId="0" borderId="172" xfId="0" applyFont="1" applyBorder="1" applyAlignment="1">
      <alignment horizontal="left" vertical="center" wrapText="1"/>
    </xf>
    <xf numFmtId="0" fontId="37"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0" fontId="28" fillId="27" borderId="52" xfId="0" applyFont="1" applyFill="1" applyBorder="1" applyAlignment="1" applyProtection="1">
      <alignment horizontal="left" vertical="center"/>
      <protection hidden="1"/>
    </xf>
    <xf numFmtId="0" fontId="28" fillId="27" borderId="54"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6" fillId="27" borderId="11" xfId="0" applyFont="1" applyFill="1" applyBorder="1" applyAlignment="1">
      <alignment horizontal="center" vertical="center" wrapText="1"/>
    </xf>
    <xf numFmtId="0" fontId="28" fillId="27" borderId="204" xfId="0" applyFont="1" applyFill="1" applyBorder="1" applyAlignment="1" applyProtection="1">
      <alignment horizontal="center" vertical="center" wrapText="1"/>
      <protection hidden="1"/>
    </xf>
    <xf numFmtId="0" fontId="28" fillId="27" borderId="183" xfId="0" applyFont="1" applyFill="1" applyBorder="1" applyAlignment="1" applyProtection="1">
      <alignment horizontal="center" vertical="center" wrapText="1"/>
      <protection hidden="1"/>
    </xf>
    <xf numFmtId="0" fontId="28" fillId="27" borderId="62" xfId="0" applyFont="1" applyFill="1" applyBorder="1" applyAlignment="1" applyProtection="1">
      <alignment horizontal="center" vertical="center" wrapText="1"/>
      <protection hidden="1"/>
    </xf>
    <xf numFmtId="0" fontId="28" fillId="27" borderId="0" xfId="0" applyFont="1" applyFill="1" applyBorder="1" applyAlignment="1" applyProtection="1">
      <alignment horizontal="center" vertical="center" wrapText="1"/>
      <protection hidden="1"/>
    </xf>
    <xf numFmtId="0" fontId="28" fillId="31" borderId="50" xfId="0"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0" fontId="28" fillId="27" borderId="86" xfId="0" applyFont="1" applyFill="1" applyBorder="1" applyAlignment="1" applyProtection="1">
      <alignment horizontal="center" vertical="center" wrapText="1"/>
      <protection hidden="1"/>
    </xf>
    <xf numFmtId="0" fontId="28" fillId="27" borderId="87" xfId="0" applyFont="1" applyFill="1" applyBorder="1" applyAlignment="1" applyProtection="1">
      <alignment horizontal="center" vertical="center" wrapText="1"/>
      <protection hidden="1"/>
    </xf>
    <xf numFmtId="0" fontId="28" fillId="27" borderId="26" xfId="0" applyFont="1" applyFill="1" applyBorder="1" applyAlignment="1" applyProtection="1">
      <alignment horizontal="center" vertical="center"/>
      <protection hidden="1"/>
    </xf>
    <xf numFmtId="0" fontId="28" fillId="27" borderId="50" xfId="0" applyFont="1" applyFill="1" applyBorder="1" applyAlignment="1" applyProtection="1">
      <alignment horizontal="center" vertical="center"/>
      <protection hidden="1"/>
    </xf>
    <xf numFmtId="0" fontId="28" fillId="27" borderId="27" xfId="0" applyFont="1" applyFill="1" applyBorder="1" applyAlignment="1" applyProtection="1">
      <alignment horizontal="center" vertical="center"/>
      <protection hidden="1"/>
    </xf>
    <xf numFmtId="0" fontId="28" fillId="27" borderId="87" xfId="0" applyFont="1" applyFill="1" applyBorder="1" applyAlignment="1" applyProtection="1">
      <alignment horizontal="left" vertical="center" wrapText="1"/>
      <protection hidden="1"/>
    </xf>
    <xf numFmtId="0" fontId="28" fillId="27" borderId="198" xfId="0" applyFont="1" applyFill="1" applyBorder="1" applyAlignment="1" applyProtection="1">
      <alignment horizontal="left"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207" fontId="23" fillId="31" borderId="190" xfId="0" applyNumberFormat="1" applyFont="1" applyFill="1" applyBorder="1" applyAlignment="1" applyProtection="1">
      <alignment horizontal="center" vertical="center"/>
      <protection locked="0" hidden="1"/>
    </xf>
    <xf numFmtId="207" fontId="23" fillId="31" borderId="222" xfId="0" applyNumberFormat="1" applyFont="1" applyFill="1" applyBorder="1" applyAlignment="1" applyProtection="1">
      <alignment horizontal="center" vertical="center"/>
      <protection locked="0" hidden="1"/>
    </xf>
    <xf numFmtId="207" fontId="23" fillId="31" borderId="115" xfId="0" applyNumberFormat="1" applyFont="1" applyFill="1" applyBorder="1" applyAlignment="1" applyProtection="1">
      <alignment horizontal="center" vertical="center"/>
      <protection locked="0" hidden="1"/>
    </xf>
    <xf numFmtId="0" fontId="28" fillId="27" borderId="77" xfId="0" applyFont="1" applyFill="1" applyBorder="1" applyAlignment="1" applyProtection="1">
      <alignment horizontal="center" vertical="center" wrapText="1"/>
      <protection hidden="1"/>
    </xf>
    <xf numFmtId="0" fontId="28" fillId="27" borderId="57"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0" fontId="6" fillId="27" borderId="179" xfId="0" applyFont="1" applyFill="1" applyBorder="1" applyAlignment="1" applyProtection="1">
      <alignment horizontal="center" vertical="center"/>
      <protection hidden="1"/>
    </xf>
    <xf numFmtId="0" fontId="6" fillId="27" borderId="55" xfId="0" applyFont="1" applyFill="1" applyBorder="1" applyAlignment="1" applyProtection="1">
      <alignment horizontal="center" vertical="center"/>
      <protection hidden="1"/>
    </xf>
    <xf numFmtId="0" fontId="28" fillId="27" borderId="56" xfId="0" applyFont="1" applyFill="1" applyBorder="1" applyAlignment="1" applyProtection="1">
      <alignment horizontal="left" vertical="center" wrapText="1"/>
      <protection locked="0"/>
    </xf>
    <xf numFmtId="0" fontId="28" fillId="27" borderId="57" xfId="0" applyFont="1" applyFill="1" applyBorder="1" applyAlignment="1" applyProtection="1">
      <alignment horizontal="left" vertical="center" wrapText="1"/>
      <protection locked="0"/>
    </xf>
    <xf numFmtId="0" fontId="28" fillId="27" borderId="58" xfId="0" applyFont="1" applyFill="1" applyBorder="1" applyAlignment="1" applyProtection="1">
      <alignment horizontal="left" vertical="center" wrapText="1"/>
      <protection locked="0"/>
    </xf>
    <xf numFmtId="207" fontId="23" fillId="31" borderId="100" xfId="0" applyNumberFormat="1" applyFont="1" applyFill="1" applyBorder="1" applyAlignment="1" applyProtection="1">
      <alignment horizontal="center" vertical="center"/>
      <protection locked="0" hidden="1"/>
    </xf>
    <xf numFmtId="0" fontId="6" fillId="27" borderId="179" xfId="0" applyFont="1" applyFill="1" applyBorder="1" applyAlignment="1" applyProtection="1">
      <alignment horizontal="center" vertical="center" wrapText="1"/>
      <protection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176" fontId="6" fillId="27" borderId="179" xfId="0" applyNumberFormat="1"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176" fontId="6" fillId="27" borderId="169" xfId="0" applyNumberFormat="1" applyFont="1" applyFill="1" applyBorder="1" applyAlignment="1" applyProtection="1">
      <alignment horizontal="center" vertical="center" wrapText="1"/>
      <protection hidden="1"/>
    </xf>
    <xf numFmtId="0" fontId="28" fillId="27" borderId="204" xfId="0" applyFont="1" applyFill="1" applyBorder="1" applyAlignment="1" applyProtection="1">
      <alignment horizontal="left" vertical="center" wrapText="1"/>
      <protection hidden="1"/>
    </xf>
    <xf numFmtId="0" fontId="6" fillId="0" borderId="184" xfId="0" applyFont="1" applyBorder="1" applyAlignment="1">
      <alignment vertical="center"/>
    </xf>
    <xf numFmtId="0" fontId="6" fillId="0" borderId="62" xfId="0" applyFont="1" applyBorder="1" applyAlignment="1">
      <alignment vertical="center"/>
    </xf>
    <xf numFmtId="0" fontId="6" fillId="0" borderId="17" xfId="0" applyFont="1" applyBorder="1" applyAlignment="1">
      <alignment vertical="center"/>
    </xf>
    <xf numFmtId="0" fontId="6" fillId="0" borderId="86" xfId="0" applyFont="1" applyBorder="1" applyAlignment="1">
      <alignment vertical="center"/>
    </xf>
    <xf numFmtId="0" fontId="6" fillId="0" borderId="198" xfId="0" applyFont="1" applyBorder="1" applyAlignment="1">
      <alignment vertical="center"/>
    </xf>
    <xf numFmtId="0" fontId="28" fillId="27" borderId="184" xfId="0" applyFont="1" applyFill="1" applyBorder="1" applyAlignment="1" applyProtection="1">
      <alignment horizontal="center" vertical="center" wrapText="1"/>
      <protection hidden="1"/>
    </xf>
    <xf numFmtId="0" fontId="28" fillId="27" borderId="17" xfId="0" applyFont="1" applyFill="1" applyBorder="1" applyAlignment="1" applyProtection="1">
      <alignment horizontal="center" vertical="center" wrapText="1"/>
      <protection hidden="1"/>
    </xf>
    <xf numFmtId="0" fontId="28" fillId="27" borderId="198" xfId="0" applyFont="1" applyFill="1" applyBorder="1" applyAlignment="1" applyProtection="1">
      <alignment horizontal="center" vertical="center" wrapText="1"/>
      <protection hidden="1"/>
    </xf>
    <xf numFmtId="0" fontId="28" fillId="0" borderId="0" xfId="0" applyFont="1" applyFill="1" applyBorder="1" applyAlignment="1" applyProtection="1">
      <alignment horizontal="left" vertical="center" wrapText="1"/>
      <protection hidden="1"/>
    </xf>
    <xf numFmtId="0" fontId="28" fillId="29" borderId="0" xfId="0" applyFont="1" applyFill="1" applyBorder="1" applyAlignment="1" applyProtection="1">
      <alignment horizontal="left" vertical="center" wrapText="1"/>
      <protection hidden="1"/>
    </xf>
    <xf numFmtId="0" fontId="28" fillId="27" borderId="167" xfId="0" applyFont="1" applyFill="1" applyBorder="1" applyAlignment="1">
      <alignment vertical="center" wrapText="1"/>
    </xf>
    <xf numFmtId="0" fontId="28" fillId="27" borderId="168" xfId="0" applyFont="1" applyFill="1" applyBorder="1" applyAlignment="1">
      <alignment vertical="center" wrapText="1"/>
    </xf>
    <xf numFmtId="0" fontId="28" fillId="27" borderId="89" xfId="0" applyFont="1" applyFill="1" applyBorder="1" applyAlignment="1" applyProtection="1">
      <alignment horizontal="center" vertical="center" wrapText="1"/>
      <protection hidden="1"/>
    </xf>
    <xf numFmtId="0" fontId="6" fillId="0" borderId="54" xfId="0" applyFont="1" applyBorder="1">
      <alignment vertical="center"/>
    </xf>
    <xf numFmtId="0" fontId="6" fillId="0" borderId="86" xfId="0" applyFont="1" applyBorder="1">
      <alignment vertical="center"/>
    </xf>
    <xf numFmtId="0" fontId="6" fillId="0" borderId="198" xfId="0" applyFont="1" applyBorder="1">
      <alignment vertical="center"/>
    </xf>
    <xf numFmtId="181" fontId="28" fillId="31" borderId="58" xfId="0" applyNumberFormat="1" applyFont="1" applyFill="1" applyBorder="1" applyAlignment="1" applyProtection="1">
      <alignment horizontal="center" vertical="center"/>
      <protection hidden="1"/>
    </xf>
    <xf numFmtId="181" fontId="28" fillId="31" borderId="55" xfId="0" applyNumberFormat="1" applyFont="1" applyFill="1" applyBorder="1" applyAlignment="1" applyProtection="1">
      <alignment horizontal="center" vertical="center"/>
      <protection hidden="1"/>
    </xf>
    <xf numFmtId="0" fontId="6" fillId="0" borderId="168" xfId="0" applyFont="1" applyBorder="1" applyAlignment="1">
      <alignment vertical="center" wrapText="1"/>
    </xf>
    <xf numFmtId="0" fontId="6" fillId="0" borderId="14" xfId="0" applyFont="1" applyBorder="1">
      <alignment vertical="center"/>
    </xf>
    <xf numFmtId="0" fontId="6" fillId="27" borderId="179" xfId="0" quotePrefix="1" applyFont="1" applyFill="1" applyBorder="1" applyAlignment="1" applyProtection="1">
      <alignment horizontal="center" vertical="center" wrapText="1"/>
      <protection hidden="1"/>
    </xf>
    <xf numFmtId="0" fontId="6" fillId="27" borderId="15" xfId="0" quotePrefix="1" applyFont="1" applyFill="1" applyBorder="1" applyAlignment="1" applyProtection="1">
      <alignment horizontal="center" vertical="center" wrapText="1"/>
      <protection hidden="1"/>
    </xf>
    <xf numFmtId="0" fontId="6" fillId="27" borderId="169" xfId="0" quotePrefix="1" applyFont="1" applyFill="1" applyBorder="1" applyAlignment="1" applyProtection="1">
      <alignment horizontal="center" vertical="center" wrapText="1"/>
      <protection hidden="1"/>
    </xf>
    <xf numFmtId="0" fontId="28" fillId="27" borderId="204" xfId="0" applyFont="1" applyFill="1" applyBorder="1" applyAlignment="1">
      <alignment vertical="center"/>
    </xf>
    <xf numFmtId="0" fontId="28" fillId="27" borderId="184" xfId="0" applyFont="1" applyFill="1" applyBorder="1" applyAlignment="1">
      <alignment vertical="center"/>
    </xf>
    <xf numFmtId="0" fontId="28" fillId="27" borderId="62" xfId="0" applyFont="1" applyFill="1" applyBorder="1" applyAlignment="1">
      <alignment vertical="center"/>
    </xf>
    <xf numFmtId="0" fontId="28" fillId="27" borderId="17" xfId="0" applyFont="1" applyFill="1" applyBorder="1" applyAlignment="1">
      <alignment vertical="center"/>
    </xf>
    <xf numFmtId="0" fontId="28" fillId="27" borderId="86" xfId="0" applyFont="1" applyFill="1" applyBorder="1" applyAlignment="1">
      <alignment vertical="center"/>
    </xf>
    <xf numFmtId="0" fontId="28" fillId="27" borderId="198" xfId="0" applyFont="1" applyFill="1" applyBorder="1" applyAlignment="1">
      <alignment vertical="center"/>
    </xf>
    <xf numFmtId="206" fontId="23" fillId="31" borderId="190" xfId="0" applyNumberFormat="1" applyFont="1" applyFill="1" applyBorder="1" applyAlignment="1" applyProtection="1">
      <alignment horizontal="center" vertical="center"/>
      <protection locked="0" hidden="1"/>
    </xf>
    <xf numFmtId="0" fontId="6" fillId="0" borderId="100" xfId="0" applyFont="1" applyBorder="1" applyAlignment="1" applyProtection="1">
      <alignment vertical="center"/>
      <protection locked="0"/>
    </xf>
    <xf numFmtId="0" fontId="6" fillId="0" borderId="222" xfId="0" applyFont="1" applyBorder="1" applyAlignment="1" applyProtection="1">
      <alignment vertical="center"/>
      <protection locked="0"/>
    </xf>
    <xf numFmtId="181" fontId="28" fillId="0" borderId="53" xfId="0" applyNumberFormat="1" applyFont="1" applyFill="1" applyBorder="1" applyAlignment="1" applyProtection="1">
      <alignment horizontal="left" vertical="center" wrapText="1"/>
      <protection hidden="1"/>
    </xf>
    <xf numFmtId="181" fontId="28" fillId="29" borderId="53" xfId="0" applyNumberFormat="1" applyFont="1" applyFill="1" applyBorder="1" applyAlignment="1" applyProtection="1">
      <alignment horizontal="left" vertical="center" wrapText="1"/>
      <protection hidden="1"/>
    </xf>
    <xf numFmtId="0" fontId="6" fillId="0" borderId="13" xfId="0" applyFont="1" applyBorder="1" applyAlignment="1">
      <alignment vertical="center" wrapText="1"/>
    </xf>
    <xf numFmtId="207" fontId="23" fillId="27" borderId="190" xfId="0" applyNumberFormat="1" applyFont="1" applyFill="1" applyBorder="1" applyAlignment="1" applyProtection="1">
      <alignment horizontal="center" vertical="center"/>
      <protection locked="0" hidden="1"/>
    </xf>
    <xf numFmtId="0" fontId="6" fillId="0" borderId="115" xfId="0" applyFont="1" applyBorder="1" applyAlignment="1" applyProtection="1">
      <alignment horizontal="center" vertical="center"/>
      <protection locked="0"/>
    </xf>
    <xf numFmtId="0" fontId="6" fillId="0" borderId="183" xfId="0" applyFont="1" applyBorder="1" applyAlignment="1">
      <alignment vertical="center" wrapText="1"/>
    </xf>
    <xf numFmtId="0" fontId="6" fillId="0" borderId="77" xfId="0" applyFont="1" applyBorder="1" applyAlignment="1">
      <alignment vertical="center" wrapText="1"/>
    </xf>
    <xf numFmtId="0" fontId="6" fillId="0" borderId="57" xfId="0" applyFont="1" applyBorder="1" applyAlignment="1">
      <alignment vertical="center" wrapText="1"/>
    </xf>
    <xf numFmtId="0" fontId="28" fillId="0" borderId="55" xfId="0" applyFont="1" applyFill="1" applyBorder="1" applyAlignment="1" applyProtection="1">
      <alignment horizontal="center" vertical="center" wrapText="1"/>
      <protection hidden="1"/>
    </xf>
    <xf numFmtId="0" fontId="28" fillId="27" borderId="187" xfId="0" applyFont="1" applyFill="1" applyBorder="1" applyAlignment="1" applyProtection="1">
      <alignment horizontal="center" vertical="center" wrapText="1"/>
      <protection hidden="1"/>
    </xf>
    <xf numFmtId="0" fontId="28" fillId="27" borderId="13" xfId="0" applyFont="1" applyFill="1" applyBorder="1" applyAlignment="1" applyProtection="1">
      <alignment horizontal="center" vertical="center" wrapText="1"/>
      <protection hidden="1"/>
    </xf>
    <xf numFmtId="201" fontId="26" fillId="31" borderId="51" xfId="0" applyNumberFormat="1" applyFont="1" applyFill="1" applyBorder="1" applyAlignment="1" applyProtection="1">
      <alignment horizontal="center" vertical="center"/>
      <protection hidden="1"/>
    </xf>
    <xf numFmtId="201" fontId="26" fillId="31" borderId="55" xfId="0" applyNumberFormat="1" applyFont="1" applyFill="1" applyBorder="1" applyAlignment="1" applyProtection="1">
      <alignment horizontal="center" vertical="center"/>
      <protection hidden="1"/>
    </xf>
    <xf numFmtId="0" fontId="165" fillId="0" borderId="13" xfId="0" applyFont="1" applyBorder="1" applyAlignment="1">
      <alignment vertical="center" wrapText="1"/>
    </xf>
    <xf numFmtId="0" fontId="165" fillId="0" borderId="198" xfId="0" applyFont="1" applyBorder="1" applyAlignment="1">
      <alignment vertical="center" wrapText="1"/>
    </xf>
    <xf numFmtId="0" fontId="165" fillId="0" borderId="14" xfId="0" applyFont="1" applyBorder="1" applyAlignment="1">
      <alignment vertical="center" wrapText="1"/>
    </xf>
    <xf numFmtId="199" fontId="26" fillId="31" borderId="51" xfId="0" applyNumberFormat="1" applyFont="1" applyFill="1" applyBorder="1" applyAlignment="1" applyProtection="1">
      <alignment horizontal="center" vertical="center"/>
      <protection hidden="1"/>
    </xf>
    <xf numFmtId="199" fontId="26" fillId="31" borderId="15" xfId="0" applyNumberFormat="1" applyFont="1" applyFill="1" applyBorder="1" applyAlignment="1" applyProtection="1">
      <alignment horizontal="center" vertical="center"/>
      <protection hidden="1"/>
    </xf>
    <xf numFmtId="199" fontId="26" fillId="31" borderId="55" xfId="0" applyNumberFormat="1" applyFont="1" applyFill="1" applyBorder="1" applyAlignment="1" applyProtection="1">
      <alignment horizontal="center" vertical="center"/>
      <protection hidden="1"/>
    </xf>
    <xf numFmtId="0" fontId="6" fillId="0" borderId="54" xfId="0" applyFont="1" applyBorder="1" applyAlignment="1">
      <alignment horizontal="left" vertical="center" wrapText="1"/>
    </xf>
    <xf numFmtId="0" fontId="6" fillId="0" borderId="64" xfId="0" applyFont="1" applyBorder="1" applyAlignment="1">
      <alignment horizontal="left" vertical="center" wrapText="1"/>
    </xf>
    <xf numFmtId="0" fontId="6" fillId="0" borderId="17"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28" fillId="27" borderId="10" xfId="0" applyFont="1" applyFill="1" applyBorder="1" applyAlignment="1">
      <alignment horizontal="center" vertical="center" wrapText="1"/>
    </xf>
    <xf numFmtId="0" fontId="165" fillId="0" borderId="173" xfId="0" applyFont="1" applyBorder="1" applyAlignment="1">
      <alignment vertical="center" wrapText="1"/>
    </xf>
    <xf numFmtId="0" fontId="165" fillId="0" borderId="172" xfId="0" applyFont="1" applyBorder="1" applyAlignment="1">
      <alignment vertical="center" wrapText="1"/>
    </xf>
    <xf numFmtId="0" fontId="0" fillId="0" borderId="173" xfId="0" applyBorder="1" applyAlignment="1">
      <alignment horizontal="left" vertical="center" wrapText="1"/>
    </xf>
    <xf numFmtId="0" fontId="0" fillId="0" borderId="172" xfId="0" applyBorder="1" applyAlignment="1">
      <alignment horizontal="left" vertical="center" wrapText="1"/>
    </xf>
    <xf numFmtId="181" fontId="28" fillId="27" borderId="12" xfId="0" applyNumberFormat="1" applyFont="1" applyFill="1" applyBorder="1" applyAlignment="1" applyProtection="1">
      <alignment horizontal="left" vertical="top" wrapText="1"/>
      <protection hidden="1"/>
    </xf>
    <xf numFmtId="181" fontId="28" fillId="27" borderId="13" xfId="0" applyNumberFormat="1" applyFont="1" applyFill="1" applyBorder="1" applyAlignment="1" applyProtection="1">
      <alignment horizontal="left" vertical="top" wrapText="1"/>
      <protection hidden="1"/>
    </xf>
    <xf numFmtId="181" fontId="28" fillId="27" borderId="14" xfId="0" applyNumberFormat="1" applyFont="1" applyFill="1" applyBorder="1" applyAlignment="1" applyProtection="1">
      <alignment horizontal="left" vertical="top" wrapText="1"/>
      <protection hidden="1"/>
    </xf>
    <xf numFmtId="0" fontId="165" fillId="38" borderId="14" xfId="0" applyFont="1" applyFill="1" applyBorder="1" applyAlignment="1">
      <alignment horizontal="left" vertical="center" wrapText="1"/>
    </xf>
    <xf numFmtId="0" fontId="28" fillId="27" borderId="56" xfId="0" quotePrefix="1" applyNumberFormat="1" applyFont="1" applyFill="1" applyBorder="1" applyAlignment="1" applyProtection="1">
      <alignment horizontal="left" vertical="center" wrapText="1"/>
      <protection hidden="1"/>
    </xf>
    <xf numFmtId="0" fontId="28" fillId="27" borderId="57" xfId="0" quotePrefix="1" applyNumberFormat="1" applyFont="1" applyFill="1" applyBorder="1" applyAlignment="1" applyProtection="1">
      <alignment horizontal="left" vertical="center" wrapText="1"/>
      <protection hidden="1"/>
    </xf>
    <xf numFmtId="0" fontId="28" fillId="27" borderId="223" xfId="0" quotePrefix="1" applyNumberFormat="1" applyFont="1" applyFill="1" applyBorder="1" applyAlignment="1" applyProtection="1">
      <alignment horizontal="left" vertical="center" wrapText="1"/>
      <protection hidden="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4" xfId="0" applyFont="1" applyBorder="1" applyAlignment="1">
      <alignment vertical="center" wrapText="1"/>
    </xf>
    <xf numFmtId="0" fontId="28" fillId="27" borderId="64" xfId="0" quotePrefix="1" applyNumberFormat="1" applyFont="1" applyFill="1" applyBorder="1" applyAlignment="1" applyProtection="1">
      <alignment horizontal="left" vertical="center" wrapText="1"/>
      <protection hidden="1"/>
    </xf>
    <xf numFmtId="0" fontId="28" fillId="27" borderId="0" xfId="0" quotePrefix="1" applyNumberFormat="1" applyFont="1" applyFill="1" applyBorder="1" applyAlignment="1" applyProtection="1">
      <alignment horizontal="left" vertical="center" wrapText="1"/>
      <protection hidden="1"/>
    </xf>
    <xf numFmtId="0" fontId="28" fillId="27" borderId="226" xfId="0" quotePrefix="1" applyNumberFormat="1" applyFont="1" applyFill="1" applyBorder="1" applyAlignment="1" applyProtection="1">
      <alignment horizontal="left" vertical="center" wrapText="1"/>
      <protection hidden="1"/>
    </xf>
    <xf numFmtId="181" fontId="28" fillId="31" borderId="26" xfId="0" applyNumberFormat="1" applyFont="1" applyFill="1" applyBorder="1" applyAlignment="1" applyProtection="1">
      <alignment horizontal="left" vertical="center" wrapText="1"/>
      <protection hidden="1"/>
    </xf>
    <xf numFmtId="0" fontId="165" fillId="0" borderId="27" xfId="0" applyFont="1" applyBorder="1" applyAlignment="1">
      <alignment horizontal="left" vertical="center" wrapText="1"/>
    </xf>
    <xf numFmtId="0" fontId="165" fillId="0" borderId="167" xfId="0" applyFont="1" applyBorder="1" applyAlignment="1">
      <alignment horizontal="left" vertical="center" wrapText="1"/>
    </xf>
    <xf numFmtId="0" fontId="165" fillId="0" borderId="168" xfId="0" applyFont="1" applyBorder="1" applyAlignment="1">
      <alignment horizontal="left" vertical="center" wrapText="1"/>
    </xf>
    <xf numFmtId="0" fontId="165" fillId="0" borderId="13" xfId="0" applyFont="1" applyBorder="1" applyAlignment="1">
      <alignment horizontal="left" vertical="center" wrapText="1"/>
    </xf>
    <xf numFmtId="0" fontId="165" fillId="0" borderId="14" xfId="0" applyFont="1" applyBorder="1" applyAlignment="1">
      <alignment horizontal="left" vertical="center" wrapText="1"/>
    </xf>
    <xf numFmtId="0" fontId="165" fillId="0" borderId="173" xfId="0" applyFont="1" applyBorder="1" applyAlignment="1">
      <alignment horizontal="left" vertical="center" wrapText="1"/>
    </xf>
    <xf numFmtId="0" fontId="165" fillId="0" borderId="172" xfId="0" applyFont="1" applyBorder="1" applyAlignment="1">
      <alignment horizontal="left" vertical="center" wrapText="1"/>
    </xf>
    <xf numFmtId="0" fontId="165" fillId="0" borderId="54" xfId="0" applyFont="1" applyBorder="1" applyAlignment="1">
      <alignment horizontal="left" vertical="center" wrapText="1"/>
    </xf>
    <xf numFmtId="0" fontId="165" fillId="0" borderId="64" xfId="0" applyFont="1" applyBorder="1" applyAlignment="1">
      <alignment horizontal="left" vertical="center" wrapText="1"/>
    </xf>
    <xf numFmtId="0" fontId="165" fillId="0" borderId="17" xfId="0" applyFont="1" applyBorder="1" applyAlignment="1">
      <alignment horizontal="left" vertical="center" wrapText="1"/>
    </xf>
    <xf numFmtId="0" fontId="165" fillId="0" borderId="56" xfId="0" applyFont="1" applyBorder="1" applyAlignment="1">
      <alignment horizontal="left" vertical="center" wrapText="1"/>
    </xf>
    <xf numFmtId="0" fontId="165" fillId="0" borderId="58" xfId="0" applyFont="1" applyBorder="1" applyAlignment="1">
      <alignment horizontal="left" vertical="center" wrapText="1"/>
    </xf>
    <xf numFmtId="0" fontId="28" fillId="27" borderId="26" xfId="0" applyFont="1" applyFill="1" applyBorder="1" applyAlignment="1">
      <alignment horizontal="center" vertical="center" wrapText="1"/>
    </xf>
    <xf numFmtId="0" fontId="28" fillId="27" borderId="27" xfId="0" applyFont="1" applyFill="1" applyBorder="1" applyAlignment="1">
      <alignment horizontal="center" vertical="center" wrapText="1"/>
    </xf>
    <xf numFmtId="0" fontId="28" fillId="27" borderId="51" xfId="0" applyFont="1" applyFill="1" applyBorder="1" applyAlignment="1">
      <alignment horizontal="center" vertical="center" wrapText="1"/>
    </xf>
    <xf numFmtId="0" fontId="28" fillId="27" borderId="15" xfId="0" applyFont="1" applyFill="1" applyBorder="1" applyAlignment="1">
      <alignment horizontal="center" vertical="center" wrapText="1"/>
    </xf>
    <xf numFmtId="0" fontId="165" fillId="0" borderId="55" xfId="0" applyFont="1" applyBorder="1" applyAlignment="1">
      <alignment horizontal="center" vertical="center" wrapText="1"/>
    </xf>
    <xf numFmtId="0" fontId="165" fillId="0" borderId="10" xfId="0" applyFont="1" applyBorder="1" applyAlignment="1">
      <alignment horizontal="center" vertical="center" wrapText="1"/>
    </xf>
    <xf numFmtId="0" fontId="33" fillId="39" borderId="68" xfId="0" applyFont="1" applyFill="1" applyBorder="1" applyAlignment="1" applyProtection="1">
      <alignment horizontal="left" vertical="center"/>
      <protection locked="0"/>
    </xf>
    <xf numFmtId="0" fontId="33" fillId="39" borderId="69" xfId="0" applyFont="1" applyFill="1" applyBorder="1" applyAlignment="1" applyProtection="1">
      <alignment horizontal="left" vertical="center"/>
      <protection locked="0"/>
    </xf>
    <xf numFmtId="0" fontId="33" fillId="39" borderId="71" xfId="0" applyFont="1" applyFill="1" applyBorder="1" applyAlignment="1" applyProtection="1">
      <alignment horizontal="left" vertical="center"/>
      <protection locked="0"/>
    </xf>
    <xf numFmtId="0" fontId="28" fillId="27" borderId="0" xfId="0" applyFont="1" applyFill="1" applyBorder="1" applyAlignment="1" applyProtection="1">
      <alignment horizontal="left" vertical="top" wrapText="1"/>
    </xf>
    <xf numFmtId="203" fontId="125" fillId="39" borderId="68" xfId="0" applyNumberFormat="1" applyFont="1" applyFill="1" applyBorder="1" applyAlignment="1" applyProtection="1">
      <alignment horizontal="center" vertical="center"/>
      <protection locked="0" hidden="1"/>
    </xf>
    <xf numFmtId="203" fontId="125" fillId="39" borderId="69" xfId="0" applyNumberFormat="1" applyFont="1" applyFill="1" applyBorder="1" applyAlignment="1" applyProtection="1">
      <alignment horizontal="center" vertical="center"/>
      <protection locked="0" hidden="1"/>
    </xf>
    <xf numFmtId="203" fontId="125" fillId="39" borderId="71" xfId="0" applyNumberFormat="1" applyFont="1" applyFill="1" applyBorder="1" applyAlignment="1" applyProtection="1">
      <alignment horizontal="center" vertical="center"/>
      <protection locked="0" hidden="1"/>
    </xf>
    <xf numFmtId="0" fontId="6" fillId="0" borderId="167" xfId="0" applyFont="1" applyBorder="1" applyAlignment="1">
      <alignment horizontal="left" vertical="center" wrapText="1"/>
    </xf>
    <xf numFmtId="0" fontId="6" fillId="0" borderId="168" xfId="0" applyFont="1" applyBorder="1" applyAlignment="1">
      <alignment horizontal="left" vertical="center" wrapText="1"/>
    </xf>
    <xf numFmtId="181" fontId="28" fillId="27" borderId="51" xfId="0" applyNumberFormat="1" applyFont="1" applyFill="1" applyBorder="1" applyAlignment="1" applyProtection="1">
      <alignment horizontal="left" vertical="center" wrapText="1"/>
      <protection hidden="1"/>
    </xf>
    <xf numFmtId="0" fontId="6" fillId="0" borderId="15" xfId="0" applyFont="1" applyBorder="1" applyAlignment="1">
      <alignment horizontal="left" vertical="center" wrapText="1"/>
    </xf>
    <xf numFmtId="0" fontId="6" fillId="0" borderId="55" xfId="0" applyFont="1" applyBorder="1" applyAlignment="1">
      <alignment horizontal="left" vertical="center" wrapText="1"/>
    </xf>
    <xf numFmtId="0" fontId="165" fillId="48" borderId="14" xfId="0" applyFont="1" applyFill="1" applyBorder="1" applyAlignment="1">
      <alignment horizontal="left" vertical="center" wrapText="1"/>
    </xf>
    <xf numFmtId="0" fontId="165" fillId="48" borderId="172" xfId="0" applyFont="1" applyFill="1" applyBorder="1" applyAlignment="1">
      <alignment horizontal="left" vertical="center" wrapText="1"/>
    </xf>
    <xf numFmtId="0" fontId="28" fillId="27" borderId="26" xfId="0" applyNumberFormat="1" applyFont="1" applyFill="1" applyBorder="1" applyAlignment="1" applyProtection="1">
      <alignment horizontal="left" vertical="center"/>
      <protection locked="0" hidden="1"/>
    </xf>
    <xf numFmtId="0" fontId="28" fillId="27" borderId="50" xfId="0" applyNumberFormat="1" applyFont="1" applyFill="1" applyBorder="1" applyAlignment="1" applyProtection="1">
      <alignment horizontal="left" vertical="center"/>
      <protection locked="0" hidden="1"/>
    </xf>
    <xf numFmtId="0" fontId="28" fillId="27" borderId="27" xfId="0" applyNumberFormat="1" applyFont="1" applyFill="1" applyBorder="1" applyAlignment="1" applyProtection="1">
      <alignment horizontal="left" vertical="center"/>
      <protection locked="0" hidden="1"/>
    </xf>
    <xf numFmtId="0" fontId="28" fillId="27" borderId="51" xfId="0" applyFont="1" applyFill="1" applyBorder="1" applyAlignment="1" applyProtection="1">
      <alignment horizontal="center" vertical="center" wrapText="1"/>
      <protection hidden="1"/>
    </xf>
    <xf numFmtId="0" fontId="28" fillId="27" borderId="55" xfId="0" applyFont="1" applyFill="1" applyBorder="1" applyAlignment="1" applyProtection="1">
      <alignment horizontal="center" vertical="center" wrapText="1"/>
      <protection hidden="1"/>
    </xf>
    <xf numFmtId="207" fontId="23" fillId="31" borderId="92" xfId="0" applyNumberFormat="1" applyFont="1" applyFill="1" applyBorder="1" applyAlignment="1" applyProtection="1">
      <alignment horizontal="center" vertical="center"/>
      <protection locked="0"/>
    </xf>
    <xf numFmtId="0" fontId="165" fillId="0" borderId="100" xfId="0" applyFont="1" applyBorder="1" applyAlignment="1" applyProtection="1">
      <alignment horizontal="center" vertical="center"/>
      <protection locked="0"/>
    </xf>
    <xf numFmtId="0" fontId="165" fillId="0" borderId="222" xfId="0" applyFont="1" applyBorder="1" applyAlignment="1" applyProtection="1">
      <alignment horizontal="center" vertical="center"/>
      <protection locked="0"/>
    </xf>
    <xf numFmtId="0" fontId="28" fillId="27" borderId="53" xfId="0" applyFont="1" applyFill="1" applyBorder="1" applyAlignment="1" applyProtection="1">
      <alignment horizontal="left" vertical="center" wrapText="1"/>
      <protection hidden="1"/>
    </xf>
    <xf numFmtId="0" fontId="28" fillId="27" borderId="54" xfId="0" applyFont="1" applyFill="1" applyBorder="1" applyAlignment="1" applyProtection="1">
      <alignment horizontal="left" vertical="center" wrapText="1"/>
      <protection hidden="1"/>
    </xf>
    <xf numFmtId="0" fontId="28" fillId="27" borderId="62" xfId="0" applyFont="1" applyFill="1" applyBorder="1" applyAlignment="1" applyProtection="1">
      <alignment horizontal="left" vertical="center" wrapText="1"/>
      <protection hidden="1"/>
    </xf>
    <xf numFmtId="0" fontId="28" fillId="27" borderId="86" xfId="0" applyFont="1" applyFill="1" applyBorder="1" applyAlignment="1" applyProtection="1">
      <alignment horizontal="left" vertical="center" wrapText="1"/>
      <protection hidden="1"/>
    </xf>
    <xf numFmtId="207" fontId="23" fillId="31" borderId="190" xfId="0" applyNumberFormat="1" applyFont="1" applyFill="1" applyBorder="1" applyAlignment="1" applyProtection="1">
      <alignment horizontal="center" vertical="center"/>
      <protection locked="0"/>
    </xf>
    <xf numFmtId="0" fontId="165" fillId="0" borderId="115" xfId="0" applyFont="1" applyBorder="1" applyAlignment="1" applyProtection="1">
      <alignment horizontal="center" vertical="center"/>
      <protection locked="0"/>
    </xf>
    <xf numFmtId="0" fontId="28" fillId="27" borderId="57" xfId="0" applyFont="1" applyFill="1" applyBorder="1" applyAlignment="1" applyProtection="1">
      <alignment horizontal="left" vertical="center" wrapText="1"/>
      <protection hidden="1"/>
    </xf>
    <xf numFmtId="0" fontId="28" fillId="27" borderId="58" xfId="0" applyFont="1" applyFill="1" applyBorder="1" applyAlignment="1" applyProtection="1">
      <alignment horizontal="left" vertical="center" wrapText="1"/>
      <protection hidden="1"/>
    </xf>
    <xf numFmtId="0" fontId="165" fillId="38" borderId="173" xfId="0" applyFont="1" applyFill="1" applyBorder="1" applyAlignment="1">
      <alignment horizontal="left" vertical="center" wrapText="1"/>
    </xf>
    <xf numFmtId="0" fontId="165" fillId="38" borderId="172" xfId="0" applyFont="1" applyFill="1" applyBorder="1" applyAlignment="1">
      <alignment horizontal="left" vertical="center" wrapText="1"/>
    </xf>
    <xf numFmtId="0" fontId="165" fillId="38" borderId="167" xfId="0" applyFont="1" applyFill="1" applyBorder="1" applyAlignment="1">
      <alignment horizontal="left" vertical="center" wrapText="1"/>
    </xf>
    <xf numFmtId="0" fontId="165" fillId="38" borderId="168" xfId="0" applyFont="1" applyFill="1" applyBorder="1" applyAlignment="1">
      <alignment horizontal="left" vertical="center" wrapText="1"/>
    </xf>
    <xf numFmtId="0" fontId="165" fillId="38" borderId="13" xfId="0" applyFont="1" applyFill="1" applyBorder="1" applyAlignment="1">
      <alignment horizontal="left" vertical="center" wrapText="1"/>
    </xf>
    <xf numFmtId="0" fontId="28" fillId="27" borderId="13" xfId="0" applyFont="1" applyFill="1" applyBorder="1" applyAlignment="1">
      <alignment horizontal="left" vertical="center" wrapText="1"/>
    </xf>
    <xf numFmtId="0" fontId="28" fillId="27" borderId="167" xfId="0" applyFont="1" applyFill="1" applyBorder="1" applyAlignment="1">
      <alignment horizontal="left" vertical="center" wrapText="1"/>
    </xf>
    <xf numFmtId="0" fontId="28" fillId="27" borderId="179" xfId="0" applyFont="1" applyFill="1" applyBorder="1" applyAlignment="1">
      <alignment horizontal="center" vertical="center" wrapText="1"/>
    </xf>
    <xf numFmtId="0" fontId="28" fillId="0" borderId="15" xfId="0" applyFont="1" applyBorder="1" applyAlignment="1">
      <alignment horizontal="center" vertical="center" wrapText="1"/>
    </xf>
    <xf numFmtId="0" fontId="28" fillId="0" borderId="169" xfId="0" applyFont="1" applyBorder="1" applyAlignment="1">
      <alignment horizontal="center" vertical="center" wrapText="1"/>
    </xf>
    <xf numFmtId="0" fontId="28" fillId="27" borderId="169" xfId="0" applyFont="1" applyFill="1" applyBorder="1" applyAlignment="1">
      <alignment horizontal="center" vertical="center" wrapText="1"/>
    </xf>
    <xf numFmtId="0" fontId="66" fillId="0" borderId="53" xfId="0" applyFont="1" applyBorder="1" applyAlignment="1" applyProtection="1">
      <alignment horizontal="left" vertical="top" wrapText="1"/>
    </xf>
    <xf numFmtId="0" fontId="28" fillId="27" borderId="166" xfId="0" applyFont="1" applyFill="1" applyBorder="1" applyAlignment="1" applyProtection="1">
      <alignment horizontal="center" vertical="center" shrinkToFit="1"/>
      <protection hidden="1"/>
    </xf>
    <xf numFmtId="0" fontId="28" fillId="27" borderId="167" xfId="0" applyFont="1" applyFill="1" applyBorder="1" applyAlignment="1" applyProtection="1">
      <alignment horizontal="center" vertical="center" shrinkToFit="1"/>
      <protection hidden="1"/>
    </xf>
    <xf numFmtId="0" fontId="28" fillId="27" borderId="168" xfId="0" applyFont="1" applyFill="1" applyBorder="1" applyAlignment="1" applyProtection="1">
      <alignment horizontal="center" vertical="center" shrinkToFit="1"/>
      <protection hidden="1"/>
    </xf>
    <xf numFmtId="0" fontId="28" fillId="27" borderId="52"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center"/>
      <protection hidden="1"/>
    </xf>
    <xf numFmtId="0" fontId="28" fillId="27" borderId="64" xfId="0" applyFont="1" applyFill="1" applyBorder="1" applyAlignment="1" applyProtection="1">
      <alignment horizontal="center" vertical="center"/>
      <protection hidden="1"/>
    </xf>
    <xf numFmtId="0" fontId="28" fillId="27" borderId="17"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center"/>
      <protection hidden="1"/>
    </xf>
    <xf numFmtId="0" fontId="28" fillId="27" borderId="52" xfId="0" applyFont="1" applyFill="1" applyBorder="1" applyAlignment="1" applyProtection="1">
      <alignment horizontal="left" vertical="center" wrapText="1"/>
      <protection hidden="1"/>
    </xf>
    <xf numFmtId="0" fontId="28" fillId="27" borderId="56" xfId="0" applyFont="1" applyFill="1" applyBorder="1" applyAlignment="1" applyProtection="1">
      <alignment horizontal="left" vertical="center" wrapText="1"/>
      <protection hidden="1"/>
    </xf>
    <xf numFmtId="207" fontId="23" fillId="31" borderId="92" xfId="0" applyNumberFormat="1" applyFont="1" applyFill="1" applyBorder="1" applyAlignment="1" applyProtection="1">
      <alignment horizontal="center" vertical="center"/>
      <protection locked="0" hidden="1"/>
    </xf>
    <xf numFmtId="0" fontId="165" fillId="0" borderId="222" xfId="0" applyFont="1" applyBorder="1" applyAlignment="1" applyProtection="1">
      <alignment vertical="center"/>
      <protection locked="0"/>
    </xf>
    <xf numFmtId="0" fontId="165" fillId="0" borderId="100" xfId="0" applyFont="1" applyBorder="1" applyAlignment="1" applyProtection="1">
      <alignment vertical="center"/>
      <protection locked="0"/>
    </xf>
    <xf numFmtId="0" fontId="165" fillId="0" borderId="115" xfId="0" applyFont="1" applyBorder="1" applyAlignment="1" applyProtection="1">
      <alignment vertical="center"/>
      <protection locked="0"/>
    </xf>
    <xf numFmtId="0" fontId="28" fillId="27" borderId="204" xfId="0" applyFont="1" applyFill="1" applyBorder="1" applyAlignment="1">
      <alignment horizontal="left" vertical="center" wrapText="1"/>
    </xf>
    <xf numFmtId="0" fontId="165" fillId="0" borderId="183" xfId="0" applyFont="1" applyBorder="1" applyAlignment="1">
      <alignment vertical="center"/>
    </xf>
    <xf numFmtId="0" fontId="165" fillId="0" borderId="184" xfId="0" applyFont="1" applyBorder="1" applyAlignment="1">
      <alignment vertical="center"/>
    </xf>
    <xf numFmtId="0" fontId="165" fillId="0" borderId="62" xfId="0" applyFont="1" applyBorder="1" applyAlignment="1">
      <alignment vertical="center"/>
    </xf>
    <xf numFmtId="0" fontId="165" fillId="0" borderId="0" xfId="0" applyFont="1" applyAlignment="1">
      <alignment vertical="center"/>
    </xf>
    <xf numFmtId="0" fontId="165" fillId="0" borderId="17" xfId="0" applyFont="1" applyBorder="1" applyAlignment="1">
      <alignment vertical="center"/>
    </xf>
    <xf numFmtId="0" fontId="165" fillId="0" borderId="77" xfId="0" applyFont="1" applyBorder="1" applyAlignment="1">
      <alignment vertical="center"/>
    </xf>
    <xf numFmtId="0" fontId="165" fillId="0" borderId="57" xfId="0" applyFont="1" applyBorder="1" applyAlignment="1">
      <alignment vertical="center"/>
    </xf>
    <xf numFmtId="0" fontId="165" fillId="0" borderId="58" xfId="0" applyFont="1" applyBorder="1" applyAlignment="1">
      <alignment vertical="center"/>
    </xf>
    <xf numFmtId="0" fontId="28" fillId="27" borderId="64" xfId="0" applyFont="1" applyFill="1" applyBorder="1" applyAlignment="1">
      <alignment horizontal="left" vertical="center" wrapText="1"/>
    </xf>
    <xf numFmtId="0" fontId="28" fillId="27" borderId="0" xfId="0" applyFont="1" applyFill="1" applyBorder="1" applyAlignment="1">
      <alignment horizontal="left" vertical="center" wrapText="1"/>
    </xf>
    <xf numFmtId="208" fontId="45" fillId="27" borderId="50" xfId="0" applyNumberFormat="1" applyFont="1" applyFill="1" applyBorder="1" applyAlignment="1" applyProtection="1">
      <alignment horizontal="center" vertical="center" wrapText="1"/>
      <protection hidden="1"/>
    </xf>
    <xf numFmtId="0" fontId="28" fillId="27" borderId="177" xfId="0" applyFont="1" applyFill="1" applyBorder="1" applyAlignment="1">
      <alignment horizontal="left" vertical="center" wrapText="1"/>
    </xf>
    <xf numFmtId="0" fontId="165" fillId="0" borderId="87" xfId="0" applyFont="1" applyBorder="1" applyAlignment="1">
      <alignment horizontal="left" vertical="center" wrapText="1"/>
    </xf>
    <xf numFmtId="0" fontId="28" fillId="27" borderId="183" xfId="0" applyFont="1" applyFill="1" applyBorder="1" applyAlignment="1">
      <alignment horizontal="left" vertical="center" wrapText="1"/>
    </xf>
    <xf numFmtId="0" fontId="28" fillId="27" borderId="184" xfId="0" applyFont="1" applyFill="1" applyBorder="1" applyAlignment="1">
      <alignment horizontal="left" vertical="center" wrapText="1"/>
    </xf>
    <xf numFmtId="0" fontId="28" fillId="27" borderId="77" xfId="0" applyFont="1" applyFill="1" applyBorder="1" applyAlignment="1">
      <alignment horizontal="left" vertical="center" wrapText="1"/>
    </xf>
    <xf numFmtId="0" fontId="28" fillId="27" borderId="57" xfId="0" applyFont="1" applyFill="1" applyBorder="1" applyAlignment="1">
      <alignment horizontal="left" vertical="center" wrapText="1"/>
    </xf>
    <xf numFmtId="0" fontId="28" fillId="27" borderId="58" xfId="0" applyFont="1" applyFill="1" applyBorder="1" applyAlignment="1">
      <alignment horizontal="left" vertical="center" wrapText="1"/>
    </xf>
    <xf numFmtId="0" fontId="28" fillId="27" borderId="53" xfId="0" applyFont="1" applyFill="1" applyBorder="1" applyAlignment="1">
      <alignment horizontal="left" vertical="center" wrapText="1"/>
    </xf>
    <xf numFmtId="0" fontId="28" fillId="27" borderId="54" xfId="0" applyFont="1" applyFill="1" applyBorder="1" applyAlignment="1">
      <alignment horizontal="left" vertical="center" wrapText="1"/>
    </xf>
    <xf numFmtId="0" fontId="28" fillId="27" borderId="17" xfId="0" applyFont="1" applyFill="1" applyBorder="1" applyAlignment="1">
      <alignment horizontal="left" vertical="center" wrapText="1"/>
    </xf>
    <xf numFmtId="0" fontId="28" fillId="27" borderId="87" xfId="0" applyFont="1" applyFill="1" applyBorder="1" applyAlignment="1">
      <alignment horizontal="left" vertical="center" wrapText="1"/>
    </xf>
    <xf numFmtId="0" fontId="28" fillId="27" borderId="198" xfId="0" applyFont="1" applyFill="1" applyBorder="1" applyAlignment="1">
      <alignment horizontal="left" vertical="center" wrapText="1"/>
    </xf>
    <xf numFmtId="0" fontId="28" fillId="27" borderId="186" xfId="0" applyFont="1" applyFill="1" applyBorder="1" applyAlignment="1">
      <alignment horizontal="left" vertical="center" wrapText="1"/>
    </xf>
    <xf numFmtId="0" fontId="28" fillId="0" borderId="167" xfId="0" applyFont="1" applyBorder="1" applyAlignment="1">
      <alignment horizontal="left" vertical="center" wrapText="1"/>
    </xf>
    <xf numFmtId="0" fontId="28" fillId="0" borderId="168" xfId="0" applyFont="1" applyBorder="1" applyAlignment="1">
      <alignment horizontal="left" vertical="center" wrapText="1"/>
    </xf>
    <xf numFmtId="0" fontId="28" fillId="27" borderId="62" xfId="0" applyFont="1" applyFill="1" applyBorder="1" applyAlignment="1">
      <alignment horizontal="left" vertical="center" wrapText="1"/>
    </xf>
    <xf numFmtId="0" fontId="28" fillId="27" borderId="204" xfId="0" applyFont="1" applyFill="1" applyBorder="1" applyAlignment="1" applyProtection="1">
      <alignment horizontal="left" vertical="center" wrapText="1"/>
    </xf>
    <xf numFmtId="0" fontId="165" fillId="0" borderId="183" xfId="0" applyFont="1" applyBorder="1" applyAlignment="1">
      <alignment horizontal="left" vertical="center" wrapText="1"/>
    </xf>
    <xf numFmtId="0" fontId="165" fillId="27" borderId="11" xfId="0" applyFont="1" applyFill="1" applyBorder="1" applyAlignment="1">
      <alignment horizontal="center" vertical="center" wrapText="1"/>
    </xf>
    <xf numFmtId="0" fontId="28" fillId="27" borderId="62" xfId="0" applyFont="1" applyFill="1" applyBorder="1" applyAlignment="1" applyProtection="1">
      <alignment horizontal="left" vertical="center" wrapText="1"/>
    </xf>
    <xf numFmtId="0" fontId="165" fillId="0" borderId="0" xfId="0" applyFont="1" applyAlignment="1">
      <alignment horizontal="left" vertical="center" wrapText="1"/>
    </xf>
    <xf numFmtId="0" fontId="28" fillId="27" borderId="86" xfId="0" applyFont="1" applyFill="1" applyBorder="1" applyAlignment="1" applyProtection="1">
      <alignment horizontal="left" vertical="center" wrapText="1"/>
    </xf>
    <xf numFmtId="0" fontId="28" fillId="27" borderId="54"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center" vertical="center" wrapText="1"/>
      <protection hidden="1"/>
    </xf>
    <xf numFmtId="0" fontId="28" fillId="27" borderId="56" xfId="0" applyFont="1" applyFill="1" applyBorder="1" applyAlignment="1" applyProtection="1">
      <alignment horizontal="center" vertical="center" wrapText="1"/>
      <protection hidden="1"/>
    </xf>
    <xf numFmtId="0" fontId="28" fillId="27" borderId="58" xfId="0" applyFont="1" applyFill="1" applyBorder="1" applyAlignment="1" applyProtection="1">
      <alignment horizontal="center" vertical="center" wrapText="1"/>
      <protection hidden="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165" fillId="0" borderId="87" xfId="0" applyFont="1" applyBorder="1" applyAlignment="1">
      <alignment vertical="center"/>
    </xf>
    <xf numFmtId="0" fontId="165" fillId="0" borderId="198" xfId="0" applyFont="1" applyBorder="1" applyAlignment="1">
      <alignment vertical="center"/>
    </xf>
    <xf numFmtId="0" fontId="28" fillId="0" borderId="53" xfId="0" applyFont="1" applyBorder="1" applyAlignment="1">
      <alignment horizontal="left" vertical="top" wrapText="1"/>
    </xf>
    <xf numFmtId="0" fontId="28" fillId="27" borderId="10" xfId="0" applyFont="1" applyFill="1" applyBorder="1" applyAlignment="1" applyProtection="1">
      <alignment horizontal="center" vertical="center" wrapText="1"/>
      <protection hidden="1"/>
    </xf>
    <xf numFmtId="0" fontId="28" fillId="27" borderId="89" xfId="0" applyFont="1" applyFill="1" applyBorder="1" applyAlignment="1" applyProtection="1">
      <alignment horizontal="left" vertical="center" wrapText="1"/>
    </xf>
    <xf numFmtId="0" fontId="28" fillId="27" borderId="53" xfId="0" applyFont="1" applyFill="1" applyBorder="1" applyAlignment="1" applyProtection="1">
      <alignment horizontal="left" vertical="center" wrapText="1"/>
    </xf>
    <xf numFmtId="0" fontId="165" fillId="27" borderId="16" xfId="0" applyFont="1" applyFill="1" applyBorder="1" applyAlignment="1">
      <alignment horizontal="center" vertical="center" wrapText="1"/>
    </xf>
    <xf numFmtId="0" fontId="37" fillId="0" borderId="53" xfId="0" applyFont="1" applyBorder="1" applyAlignment="1" applyProtection="1">
      <alignment horizontal="left" vertical="top" wrapText="1"/>
    </xf>
    <xf numFmtId="0" fontId="28" fillId="27" borderId="178" xfId="0" applyFont="1" applyFill="1" applyBorder="1" applyAlignment="1">
      <alignment vertical="center" wrapText="1"/>
    </xf>
    <xf numFmtId="0" fontId="165" fillId="0" borderId="184" xfId="0" applyFont="1" applyBorder="1" applyAlignment="1">
      <alignment vertical="center" wrapText="1"/>
    </xf>
    <xf numFmtId="0" fontId="165" fillId="0" borderId="64" xfId="0" applyFont="1" applyBorder="1" applyAlignment="1">
      <alignment vertical="center" wrapText="1"/>
    </xf>
    <xf numFmtId="0" fontId="165" fillId="0" borderId="17" xfId="0" applyFont="1" applyBorder="1" applyAlignment="1">
      <alignment vertical="center" wrapText="1"/>
    </xf>
    <xf numFmtId="0" fontId="165" fillId="0" borderId="177" xfId="0" applyFont="1" applyBorder="1" applyAlignment="1">
      <alignment vertical="center" wrapText="1"/>
    </xf>
    <xf numFmtId="181" fontId="28" fillId="31" borderId="26" xfId="0" applyNumberFormat="1" applyFont="1" applyFill="1" applyBorder="1" applyAlignment="1" applyProtection="1">
      <alignment horizontal="center" vertical="center" wrapText="1"/>
      <protection hidden="1"/>
    </xf>
    <xf numFmtId="0" fontId="28" fillId="27" borderId="177" xfId="0" applyFont="1" applyFill="1" applyBorder="1" applyAlignment="1">
      <alignment vertical="center" wrapText="1"/>
    </xf>
    <xf numFmtId="0" fontId="165" fillId="0" borderId="87" xfId="0" applyFont="1" applyBorder="1" applyAlignment="1">
      <alignment vertical="center" wrapText="1"/>
    </xf>
    <xf numFmtId="0" fontId="28" fillId="27" borderId="224" xfId="0" applyFont="1" applyFill="1" applyBorder="1" applyAlignment="1">
      <alignment vertical="center" wrapText="1"/>
    </xf>
    <xf numFmtId="0" fontId="165" fillId="0" borderId="120" xfId="0" applyFont="1" applyBorder="1" applyAlignment="1">
      <alignment vertical="center" wrapText="1"/>
    </xf>
    <xf numFmtId="0" fontId="165" fillId="0" borderId="56" xfId="0" applyFont="1" applyBorder="1" applyAlignment="1">
      <alignment vertical="center" wrapText="1"/>
    </xf>
    <xf numFmtId="0" fontId="165" fillId="0" borderId="58" xfId="0" applyFont="1" applyBorder="1" applyAlignment="1">
      <alignment vertical="center" wrapText="1"/>
    </xf>
    <xf numFmtId="0" fontId="28" fillId="27" borderId="52" xfId="0" applyFont="1" applyFill="1" applyBorder="1" applyAlignment="1">
      <alignment horizontal="center" vertical="center"/>
    </xf>
    <xf numFmtId="0" fontId="28" fillId="27" borderId="54" xfId="0" applyFont="1" applyFill="1" applyBorder="1" applyAlignment="1">
      <alignment horizontal="center" vertical="center"/>
    </xf>
    <xf numFmtId="0" fontId="28" fillId="27" borderId="64" xfId="0" applyFont="1" applyFill="1" applyBorder="1" applyAlignment="1">
      <alignment horizontal="center" vertical="center"/>
    </xf>
    <xf numFmtId="0" fontId="28" fillId="27" borderId="17" xfId="0" applyFont="1" applyFill="1" applyBorder="1" applyAlignment="1">
      <alignment horizontal="center" vertical="center"/>
    </xf>
    <xf numFmtId="0" fontId="28" fillId="27" borderId="56" xfId="0" applyFont="1" applyFill="1" applyBorder="1" applyAlignment="1">
      <alignment horizontal="center" vertical="center"/>
    </xf>
    <xf numFmtId="0" fontId="28" fillId="27" borderId="58" xfId="0" applyFont="1" applyFill="1" applyBorder="1" applyAlignment="1">
      <alignment horizontal="center" vertical="center"/>
    </xf>
    <xf numFmtId="0" fontId="28" fillId="27" borderId="12" xfId="0" applyFont="1" applyFill="1" applyBorder="1" applyAlignment="1">
      <alignment vertical="center" wrapText="1"/>
    </xf>
    <xf numFmtId="0" fontId="165" fillId="27" borderId="170" xfId="0" applyFont="1" applyFill="1" applyBorder="1" applyAlignment="1">
      <alignment horizontal="center" vertical="center" wrapText="1"/>
    </xf>
    <xf numFmtId="0" fontId="28" fillId="27" borderId="177" xfId="0" applyFont="1" applyFill="1" applyBorder="1" applyAlignment="1" applyProtection="1">
      <alignment horizontal="left" vertical="center" wrapText="1"/>
      <protection locked="0"/>
    </xf>
    <xf numFmtId="0" fontId="28" fillId="27" borderId="87" xfId="0" applyFont="1" applyFill="1" applyBorder="1" applyAlignment="1" applyProtection="1">
      <alignment horizontal="left" vertical="center" wrapText="1"/>
      <protection locked="0"/>
    </xf>
    <xf numFmtId="0" fontId="28" fillId="27" borderId="55" xfId="0" applyFont="1" applyFill="1" applyBorder="1" applyAlignment="1">
      <alignment horizontal="center" vertical="center" wrapText="1"/>
    </xf>
    <xf numFmtId="0" fontId="165" fillId="0" borderId="183" xfId="0" applyFont="1" applyBorder="1" applyAlignment="1">
      <alignment vertical="center" wrapText="1"/>
    </xf>
    <xf numFmtId="176" fontId="28" fillId="27" borderId="12" xfId="0" applyNumberFormat="1" applyFont="1" applyFill="1" applyBorder="1" applyAlignment="1" applyProtection="1">
      <alignment horizontal="left" vertical="center" wrapText="1"/>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166" xfId="0" applyFont="1" applyFill="1" applyBorder="1" applyAlignment="1">
      <alignment vertical="center" wrapText="1"/>
    </xf>
    <xf numFmtId="0" fontId="165" fillId="0" borderId="167" xfId="0" applyFont="1" applyBorder="1" applyAlignment="1">
      <alignment vertical="center" wrapText="1"/>
    </xf>
    <xf numFmtId="0" fontId="165" fillId="0" borderId="168" xfId="0" applyFont="1" applyBorder="1" applyAlignment="1">
      <alignment vertical="center" wrapText="1"/>
    </xf>
    <xf numFmtId="0" fontId="28" fillId="27" borderId="52" xfId="0" applyFont="1" applyFill="1" applyBorder="1" applyAlignment="1">
      <alignment vertical="center" wrapText="1"/>
    </xf>
    <xf numFmtId="0" fontId="165" fillId="0" borderId="54" xfId="0" applyFont="1" applyBorder="1" applyAlignment="1">
      <alignment vertical="center" wrapText="1"/>
    </xf>
    <xf numFmtId="0" fontId="28" fillId="27" borderId="189" xfId="0" applyFont="1" applyFill="1" applyBorder="1" applyAlignment="1">
      <alignment vertical="center" wrapText="1"/>
    </xf>
    <xf numFmtId="0" fontId="165" fillId="0" borderId="225" xfId="0" applyFont="1" applyBorder="1" applyAlignment="1">
      <alignment vertical="center" wrapText="1"/>
    </xf>
    <xf numFmtId="0" fontId="165" fillId="0" borderId="118" xfId="0" applyFont="1" applyBorder="1" applyAlignment="1">
      <alignment vertical="center" wrapText="1"/>
    </xf>
    <xf numFmtId="0" fontId="0" fillId="0" borderId="167" xfId="0" applyFont="1" applyBorder="1" applyAlignment="1">
      <alignment horizontal="center" vertical="center" shrinkToFit="1"/>
    </xf>
    <xf numFmtId="0" fontId="0" fillId="0" borderId="168" xfId="0" applyFont="1" applyBorder="1" applyAlignment="1">
      <alignment horizontal="center" vertical="center" shrinkToFit="1"/>
    </xf>
    <xf numFmtId="0" fontId="28" fillId="27" borderId="261" xfId="0" applyFont="1" applyFill="1" applyBorder="1" applyAlignment="1" applyProtection="1">
      <alignment horizontal="center" vertical="center" wrapText="1"/>
      <protection hidden="1"/>
    </xf>
    <xf numFmtId="0" fontId="0" fillId="0" borderId="262" xfId="0" applyFont="1" applyBorder="1" applyAlignment="1">
      <alignment horizontal="center" vertical="center" wrapText="1"/>
    </xf>
    <xf numFmtId="0" fontId="28" fillId="27" borderId="272" xfId="0" applyFont="1" applyFill="1" applyBorder="1" applyAlignment="1" applyProtection="1">
      <alignment horizontal="center" vertical="center" wrapText="1"/>
      <protection hidden="1"/>
    </xf>
    <xf numFmtId="0" fontId="0" fillId="0" borderId="87" xfId="0" applyFont="1" applyBorder="1" applyAlignment="1">
      <alignment horizontal="center" vertical="center" wrapText="1"/>
    </xf>
    <xf numFmtId="0" fontId="0" fillId="0" borderId="198" xfId="0" applyFont="1" applyBorder="1" applyAlignment="1">
      <alignment horizontal="center" vertical="center" wrapText="1"/>
    </xf>
    <xf numFmtId="0" fontId="28" fillId="27" borderId="177" xfId="0" applyFont="1" applyFill="1" applyBorder="1" applyAlignment="1" applyProtection="1">
      <alignment horizontal="center" vertical="center" wrapText="1"/>
      <protection hidden="1"/>
    </xf>
    <xf numFmtId="0" fontId="28" fillId="27" borderId="262" xfId="0" applyFont="1" applyFill="1" applyBorder="1" applyAlignment="1" applyProtection="1">
      <alignment horizontal="center" vertical="center" wrapText="1"/>
      <protection hidden="1"/>
    </xf>
    <xf numFmtId="0" fontId="0" fillId="0" borderId="263" xfId="0" applyFont="1" applyBorder="1" applyAlignment="1">
      <alignment horizontal="center" vertical="center" wrapText="1"/>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8" fillId="29" borderId="0" xfId="0" applyFont="1" applyFill="1" applyBorder="1" applyAlignment="1" applyProtection="1">
      <alignment horizontal="left" vertical="center"/>
    </xf>
    <xf numFmtId="0" fontId="95" fillId="0" borderId="65" xfId="0" applyNumberFormat="1" applyFont="1" applyFill="1" applyBorder="1" applyAlignment="1" applyProtection="1">
      <alignment horizontal="left" vertical="center"/>
    </xf>
    <xf numFmtId="0" fontId="95" fillId="0" borderId="66" xfId="0" applyNumberFormat="1" applyFont="1" applyFill="1" applyBorder="1" applyAlignment="1" applyProtection="1">
      <alignment horizontal="left" vertical="center"/>
    </xf>
    <xf numFmtId="0" fontId="95" fillId="0" borderId="67" xfId="0" applyNumberFormat="1" applyFont="1" applyFill="1" applyBorder="1" applyAlignment="1" applyProtection="1">
      <alignment horizontal="left" vertical="center"/>
    </xf>
    <xf numFmtId="2" fontId="33" fillId="35" borderId="10" xfId="0" applyNumberFormat="1" applyFont="1" applyFill="1" applyBorder="1" applyAlignment="1" applyProtection="1">
      <alignment horizontal="center"/>
      <protection hidden="1"/>
    </xf>
    <xf numFmtId="2" fontId="33" fillId="35" borderId="51" xfId="0" applyNumberFormat="1" applyFont="1" applyFill="1" applyBorder="1" applyAlignment="1" applyProtection="1">
      <alignment horizontal="center"/>
      <protection hidden="1"/>
    </xf>
    <xf numFmtId="0" fontId="33" fillId="41" borderId="51" xfId="0" applyFont="1" applyFill="1" applyBorder="1" applyAlignment="1" applyProtection="1">
      <alignment horizontal="center" vertical="center"/>
      <protection locked="0"/>
    </xf>
    <xf numFmtId="0" fontId="33" fillId="41" borderId="15" xfId="0" applyFont="1" applyFill="1" applyBorder="1" applyAlignment="1" applyProtection="1">
      <alignment horizontal="center" vertical="center"/>
      <protection locked="0"/>
    </xf>
    <xf numFmtId="0" fontId="33" fillId="41" borderId="55" xfId="0" applyFont="1" applyFill="1" applyBorder="1" applyAlignment="1" applyProtection="1">
      <alignment horizontal="center" vertical="center"/>
      <protection locked="0"/>
    </xf>
    <xf numFmtId="0" fontId="33" fillId="27" borderId="15" xfId="0" applyFont="1" applyFill="1" applyBorder="1" applyAlignment="1">
      <alignment horizontal="center" vertical="center" wrapText="1"/>
    </xf>
    <xf numFmtId="0" fontId="33" fillId="27" borderId="64" xfId="0" applyFont="1" applyFill="1" applyBorder="1" applyAlignment="1">
      <alignment horizontal="center" vertical="center" wrapText="1"/>
    </xf>
    <xf numFmtId="0" fontId="33" fillId="27" borderId="10" xfId="0" applyFont="1" applyFill="1" applyBorder="1" applyAlignment="1">
      <alignment horizontal="center" vertical="center"/>
    </xf>
    <xf numFmtId="0" fontId="33" fillId="27" borderId="26" xfId="0" applyFont="1" applyFill="1" applyBorder="1" applyAlignment="1">
      <alignment horizontal="center" vertical="center"/>
    </xf>
    <xf numFmtId="0" fontId="33" fillId="27" borderId="27" xfId="0" applyFont="1" applyFill="1" applyBorder="1" applyAlignment="1">
      <alignment horizontal="center" vertical="center"/>
    </xf>
    <xf numFmtId="0" fontId="33" fillId="27" borderId="51" xfId="0" applyFont="1" applyFill="1" applyBorder="1" applyAlignment="1">
      <alignment horizontal="center" vertical="center" wrapText="1"/>
    </xf>
    <xf numFmtId="0" fontId="33" fillId="27" borderId="15" xfId="0" applyFont="1" applyFill="1" applyBorder="1" applyAlignment="1">
      <alignment horizontal="center" vertical="center"/>
    </xf>
    <xf numFmtId="0" fontId="33" fillId="27" borderId="55" xfId="0" applyFont="1" applyFill="1" applyBorder="1" applyAlignment="1">
      <alignment horizontal="center"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070627LCCO2計算" xfId="44"/>
    <cellStyle name="標準_070627LCCO2計算_100308事業者別CO2排出係数シート案" xfId="45"/>
    <cellStyle name="標準_選定シートV1.0" xfId="46"/>
    <cellStyle name="良い" xfId="47" builtinId="26" customBuiltin="1"/>
  </cellStyles>
  <dxfs count="141">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2"/>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34998626667073579"/>
        </patternFill>
      </fill>
    </dxf>
    <dxf>
      <fill>
        <patternFill>
          <bgColor theme="0" tint="-0.34998626667073579"/>
        </patternFill>
      </fill>
    </dxf>
    <dxf>
      <fill>
        <patternFill>
          <bgColor indexed="22"/>
        </patternFill>
      </fill>
    </dxf>
    <dxf>
      <fill>
        <patternFill>
          <bgColor theme="0" tint="-0.34998626667073579"/>
        </patternFill>
      </fill>
    </dxf>
    <dxf>
      <fill>
        <patternFill>
          <bgColor indexed="27"/>
        </patternFill>
      </fill>
    </dxf>
    <dxf>
      <fill>
        <patternFill>
          <bgColor indexed="27"/>
        </patternFill>
      </fill>
    </dxf>
    <dxf>
      <fill>
        <patternFill>
          <bgColor indexed="14"/>
        </patternFill>
      </fill>
    </dxf>
    <dxf>
      <fill>
        <patternFill>
          <bgColor indexed="41"/>
        </patternFill>
      </fill>
    </dxf>
    <dxf>
      <font>
        <b/>
        <i val="0"/>
        <condense val="0"/>
        <extend val="0"/>
        <color indexed="10"/>
      </font>
    </dxf>
    <dxf>
      <font>
        <b/>
        <i val="0"/>
        <condense val="0"/>
        <extend val="0"/>
        <color indexed="10"/>
      </font>
    </dxf>
    <dxf>
      <font>
        <b/>
        <i val="0"/>
        <condense val="0"/>
        <extend val="0"/>
        <color indexed="10"/>
      </font>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6"/>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u val="none"/>
        <color auto="1"/>
      </font>
      <fill>
        <patternFill>
          <bgColor indexed="27"/>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41"/>
        </patternFill>
      </fill>
    </dxf>
    <dxf>
      <fill>
        <patternFill>
          <bgColor indexed="26"/>
        </patternFill>
      </fill>
    </dxf>
    <dxf>
      <fill>
        <patternFill>
          <bgColor indexed="27"/>
        </patternFill>
      </fill>
    </dxf>
    <dxf>
      <fill>
        <patternFill>
          <bgColor indexed="27"/>
        </patternFill>
      </fill>
    </dxf>
    <dxf>
      <fill>
        <patternFill>
          <bgColor indexed="14"/>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ont>
        <condense val="0"/>
        <extend val="0"/>
        <color auto="1"/>
      </font>
      <fill>
        <patternFill patternType="solid">
          <bgColor indexed="26"/>
        </patternFill>
      </fill>
    </dxf>
    <dxf>
      <fill>
        <patternFill>
          <bgColor indexed="41"/>
        </patternFill>
      </fill>
    </dxf>
    <dxf>
      <fill>
        <patternFill>
          <bgColor indexed="41"/>
        </patternFill>
      </fill>
    </dxf>
    <dxf>
      <font>
        <condense val="0"/>
        <extend val="0"/>
        <color auto="1"/>
      </font>
      <fill>
        <patternFill>
          <bgColor indexed="26"/>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indexed="27"/>
        </patternFill>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dxf>
    <dxf>
      <fill>
        <patternFill>
          <bgColor indexed="4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66FF"/>
      <color rgb="FFCCFFFF"/>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1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5.jpe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image" Target="../media/image7.png"/></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結果!$S$15</c:f>
              <c:numCache>
                <c:formatCode>#,##0.0;[Red]\-#,##0.0</c:formatCode>
                <c:ptCount val="1"/>
                <c:pt idx="0">
                  <c:v>0.6</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結果!$S$16</c:f>
              <c:numCache>
                <c:formatCode>#,##0.0;[Red]\-#,##0.0</c:formatCode>
                <c:ptCount val="1"/>
                <c:pt idx="0">
                  <c:v>0.4</c:v>
                </c:pt>
              </c:numCache>
            </c:numRef>
          </c:val>
        </c:ser>
        <c:dLbls>
          <c:showLegendKey val="0"/>
          <c:showVal val="0"/>
          <c:showCatName val="0"/>
          <c:showSerName val="0"/>
          <c:showPercent val="0"/>
          <c:showBubbleSize val="0"/>
        </c:dLbls>
        <c:gapWidth val="50"/>
        <c:overlap val="100"/>
        <c:axId val="153406080"/>
        <c:axId val="157565312"/>
      </c:barChart>
      <c:catAx>
        <c:axId val="153406080"/>
        <c:scaling>
          <c:orientation val="minMax"/>
        </c:scaling>
        <c:delete val="1"/>
        <c:axPos val="l"/>
        <c:numFmt formatCode="General" sourceLinked="1"/>
        <c:majorTickMark val="out"/>
        <c:minorTickMark val="none"/>
        <c:tickLblPos val="nextTo"/>
        <c:crossAx val="157565312"/>
        <c:crosses val="autoZero"/>
        <c:auto val="1"/>
        <c:lblAlgn val="ctr"/>
        <c:lblOffset val="100"/>
        <c:noMultiLvlLbl val="0"/>
      </c:catAx>
      <c:valAx>
        <c:axId val="157565312"/>
        <c:scaling>
          <c:orientation val="minMax"/>
        </c:scaling>
        <c:delete val="1"/>
        <c:axPos val="b"/>
        <c:numFmt formatCode="0%" sourceLinked="1"/>
        <c:majorTickMark val="out"/>
        <c:minorTickMark val="none"/>
        <c:tickLblPos val="nextTo"/>
        <c:crossAx val="153406080"/>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結果!$U$59:$U$61</c:f>
              <c:strCache>
                <c:ptCount val="3"/>
                <c:pt idx="0">
                  <c:v>水資源</c:v>
                </c:pt>
                <c:pt idx="1">
                  <c:v>非再生性材料の削減</c:v>
                </c:pt>
                <c:pt idx="2">
                  <c:v>汚染物質回避</c:v>
                </c:pt>
              </c:strCache>
            </c:strRef>
          </c:cat>
          <c:val>
            <c:numRef>
              <c:f>結果!$V$59:$V$61</c:f>
              <c:numCache>
                <c:formatCode>0.0_ </c:formatCode>
                <c:ptCount val="3"/>
                <c:pt idx="0">
                  <c:v>3</c:v>
                </c:pt>
                <c:pt idx="1">
                  <c:v>3</c:v>
                </c:pt>
                <c:pt idx="2">
                  <c:v>3.2</c:v>
                </c:pt>
              </c:numCache>
            </c:numRef>
          </c:val>
        </c:ser>
        <c:dLbls>
          <c:showLegendKey val="0"/>
          <c:showVal val="1"/>
          <c:showCatName val="0"/>
          <c:showSerName val="0"/>
          <c:showPercent val="0"/>
          <c:showBubbleSize val="0"/>
        </c:dLbls>
        <c:gapWidth val="70"/>
        <c:axId val="56830592"/>
        <c:axId val="56840576"/>
      </c:barChart>
      <c:catAx>
        <c:axId val="56830592"/>
        <c:scaling>
          <c:orientation val="minMax"/>
        </c:scaling>
        <c:delete val="0"/>
        <c:axPos val="b"/>
        <c:numFmt formatCode="General" sourceLinked="1"/>
        <c:majorTickMark val="none"/>
        <c:minorTickMark val="none"/>
        <c:tickLblPos val="none"/>
        <c:spPr>
          <a:ln w="3175">
            <a:solidFill>
              <a:srgbClr val="000000"/>
            </a:solidFill>
            <a:prstDash val="solid"/>
          </a:ln>
        </c:spPr>
        <c:crossAx val="56840576"/>
        <c:crossesAt val="0"/>
        <c:auto val="1"/>
        <c:lblAlgn val="ctr"/>
        <c:lblOffset val="100"/>
        <c:tickMarkSkip val="1"/>
        <c:noMultiLvlLbl val="0"/>
      </c:catAx>
      <c:valAx>
        <c:axId val="5684057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83059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結果!$X$59:$X$61</c:f>
              <c:strCache>
                <c:ptCount val="3"/>
                <c:pt idx="0">
                  <c:v>地球温暖化への配慮</c:v>
                </c:pt>
                <c:pt idx="1">
                  <c:v>地域環境への配慮</c:v>
                </c:pt>
                <c:pt idx="2">
                  <c:v>周辺環境への配慮</c:v>
                </c:pt>
              </c:strCache>
            </c:strRef>
          </c:cat>
          <c:val>
            <c:numRef>
              <c:f>結果!$Y$59:$Y$61</c:f>
              <c:numCache>
                <c:formatCode>0.0_ </c:formatCode>
                <c:ptCount val="3"/>
                <c:pt idx="0">
                  <c:v>3.2</c:v>
                </c:pt>
                <c:pt idx="1">
                  <c:v>3</c:v>
                </c:pt>
                <c:pt idx="2">
                  <c:v>3</c:v>
                </c:pt>
              </c:numCache>
            </c:numRef>
          </c:val>
        </c:ser>
        <c:dLbls>
          <c:showLegendKey val="0"/>
          <c:showVal val="1"/>
          <c:showCatName val="0"/>
          <c:showSerName val="0"/>
          <c:showPercent val="0"/>
          <c:showBubbleSize val="0"/>
        </c:dLbls>
        <c:gapWidth val="70"/>
        <c:axId val="56863360"/>
        <c:axId val="56865152"/>
      </c:barChart>
      <c:catAx>
        <c:axId val="56863360"/>
        <c:scaling>
          <c:orientation val="minMax"/>
        </c:scaling>
        <c:delete val="0"/>
        <c:axPos val="b"/>
        <c:numFmt formatCode="General" sourceLinked="1"/>
        <c:majorTickMark val="none"/>
        <c:minorTickMark val="none"/>
        <c:tickLblPos val="none"/>
        <c:spPr>
          <a:ln w="3175">
            <a:solidFill>
              <a:srgbClr val="000000"/>
            </a:solidFill>
            <a:prstDash val="solid"/>
          </a:ln>
        </c:spPr>
        <c:crossAx val="56865152"/>
        <c:crossesAt val="0"/>
        <c:auto val="1"/>
        <c:lblAlgn val="ctr"/>
        <c:lblOffset val="100"/>
        <c:tickMarkSkip val="1"/>
        <c:noMultiLvlLbl val="0"/>
      </c:catAx>
      <c:valAx>
        <c:axId val="5686515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86336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重点項目!$L$12</c:f>
              <c:strCache>
                <c:ptCount val="1"/>
                <c:pt idx="0">
                  <c:v>Rank(Kanae)</c:v>
                </c:pt>
              </c:strCache>
            </c:strRef>
          </c:cat>
          <c:val>
            <c:numRef>
              <c:f>重点項目!$L$13</c:f>
              <c:numCache>
                <c:formatCode>General</c:formatCode>
                <c:ptCount val="1"/>
                <c:pt idx="0">
                  <c:v>0.8</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重点項目!$L$12</c:f>
              <c:strCache>
                <c:ptCount val="1"/>
                <c:pt idx="0">
                  <c:v>Rank(Kanae)</c:v>
                </c:pt>
              </c:strCache>
            </c:strRef>
          </c:cat>
          <c:val>
            <c:numRef>
              <c:f>重点項目!$M$13</c:f>
              <c:numCache>
                <c:formatCode>General</c:formatCode>
                <c:ptCount val="1"/>
                <c:pt idx="0">
                  <c:v>0.19999999999999996</c:v>
                </c:pt>
              </c:numCache>
            </c:numRef>
          </c:val>
        </c:ser>
        <c:dLbls>
          <c:showLegendKey val="0"/>
          <c:showVal val="0"/>
          <c:showCatName val="0"/>
          <c:showSerName val="0"/>
          <c:showPercent val="0"/>
          <c:showBubbleSize val="0"/>
        </c:dLbls>
        <c:gapWidth val="50"/>
        <c:overlap val="100"/>
        <c:axId val="57955072"/>
        <c:axId val="57956608"/>
      </c:barChart>
      <c:catAx>
        <c:axId val="57955072"/>
        <c:scaling>
          <c:orientation val="minMax"/>
        </c:scaling>
        <c:delete val="1"/>
        <c:axPos val="l"/>
        <c:majorTickMark val="out"/>
        <c:minorTickMark val="none"/>
        <c:tickLblPos val="nextTo"/>
        <c:crossAx val="57956608"/>
        <c:crosses val="autoZero"/>
        <c:auto val="1"/>
        <c:lblAlgn val="ctr"/>
        <c:lblOffset val="100"/>
        <c:noMultiLvlLbl val="0"/>
      </c:catAx>
      <c:valAx>
        <c:axId val="57956608"/>
        <c:scaling>
          <c:orientation val="minMax"/>
        </c:scaling>
        <c:delete val="1"/>
        <c:axPos val="b"/>
        <c:numFmt formatCode="0%" sourceLinked="1"/>
        <c:majorTickMark val="out"/>
        <c:minorTickMark val="none"/>
        <c:tickLblPos val="nextTo"/>
        <c:crossAx val="57955072"/>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重点項目!$L$16</c:f>
              <c:strCache>
                <c:ptCount val="1"/>
                <c:pt idx="0">
                  <c:v>Rank(Kanae)</c:v>
                </c:pt>
              </c:strCache>
            </c:strRef>
          </c:cat>
          <c:val>
            <c:numRef>
              <c:f>重点項目!$L$17</c:f>
              <c:numCache>
                <c:formatCode>General</c:formatCode>
                <c:ptCount val="1"/>
                <c:pt idx="0">
                  <c:v>0.6</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重点項目!$L$16</c:f>
              <c:strCache>
                <c:ptCount val="1"/>
                <c:pt idx="0">
                  <c:v>Rank(Kanae)</c:v>
                </c:pt>
              </c:strCache>
            </c:strRef>
          </c:cat>
          <c:val>
            <c:numRef>
              <c:f>重点項目!$M$17</c:f>
              <c:numCache>
                <c:formatCode>General</c:formatCode>
                <c:ptCount val="1"/>
                <c:pt idx="0">
                  <c:v>0.4</c:v>
                </c:pt>
              </c:numCache>
            </c:numRef>
          </c:val>
        </c:ser>
        <c:dLbls>
          <c:showLegendKey val="0"/>
          <c:showVal val="0"/>
          <c:showCatName val="0"/>
          <c:showSerName val="0"/>
          <c:showPercent val="0"/>
          <c:showBubbleSize val="0"/>
        </c:dLbls>
        <c:gapWidth val="50"/>
        <c:overlap val="100"/>
        <c:axId val="57985280"/>
        <c:axId val="70164480"/>
      </c:barChart>
      <c:catAx>
        <c:axId val="57985280"/>
        <c:scaling>
          <c:orientation val="minMax"/>
        </c:scaling>
        <c:delete val="1"/>
        <c:axPos val="l"/>
        <c:majorTickMark val="out"/>
        <c:minorTickMark val="none"/>
        <c:tickLblPos val="nextTo"/>
        <c:crossAx val="70164480"/>
        <c:crosses val="autoZero"/>
        <c:auto val="1"/>
        <c:lblAlgn val="ctr"/>
        <c:lblOffset val="100"/>
        <c:noMultiLvlLbl val="0"/>
      </c:catAx>
      <c:valAx>
        <c:axId val="70164480"/>
        <c:scaling>
          <c:orientation val="minMax"/>
        </c:scaling>
        <c:delete val="1"/>
        <c:axPos val="b"/>
        <c:numFmt formatCode="0%" sourceLinked="1"/>
        <c:majorTickMark val="out"/>
        <c:minorTickMark val="none"/>
        <c:tickLblPos val="nextTo"/>
        <c:crossAx val="57985280"/>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74E-2"/>
          <c:w val="0.96283783783783783"/>
          <c:h val="0.8409137568456857"/>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重点項目!$L$21</c:f>
              <c:strCache>
                <c:ptCount val="1"/>
                <c:pt idx="0">
                  <c:v>Rank(Kanae)</c:v>
                </c:pt>
              </c:strCache>
            </c:strRef>
          </c:cat>
          <c:val>
            <c:numRef>
              <c:f>重点項目!$L$22</c:f>
              <c:numCache>
                <c:formatCode>General</c:formatCode>
                <c:ptCount val="1"/>
                <c:pt idx="0">
                  <c:v>0.6</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重点項目!$L$21</c:f>
              <c:strCache>
                <c:ptCount val="1"/>
                <c:pt idx="0">
                  <c:v>Rank(Kanae)</c:v>
                </c:pt>
              </c:strCache>
            </c:strRef>
          </c:cat>
          <c:val>
            <c:numRef>
              <c:f>重点項目!$M$22</c:f>
              <c:numCache>
                <c:formatCode>General</c:formatCode>
                <c:ptCount val="1"/>
                <c:pt idx="0">
                  <c:v>0.4</c:v>
                </c:pt>
              </c:numCache>
            </c:numRef>
          </c:val>
        </c:ser>
        <c:dLbls>
          <c:showLegendKey val="0"/>
          <c:showVal val="0"/>
          <c:showCatName val="0"/>
          <c:showSerName val="0"/>
          <c:showPercent val="0"/>
          <c:showBubbleSize val="0"/>
        </c:dLbls>
        <c:gapWidth val="50"/>
        <c:overlap val="100"/>
        <c:axId val="72421376"/>
        <c:axId val="72422912"/>
      </c:barChart>
      <c:catAx>
        <c:axId val="72421376"/>
        <c:scaling>
          <c:orientation val="minMax"/>
        </c:scaling>
        <c:delete val="1"/>
        <c:axPos val="l"/>
        <c:majorTickMark val="out"/>
        <c:minorTickMark val="none"/>
        <c:tickLblPos val="nextTo"/>
        <c:crossAx val="72422912"/>
        <c:crosses val="autoZero"/>
        <c:auto val="1"/>
        <c:lblAlgn val="ctr"/>
        <c:lblOffset val="100"/>
        <c:noMultiLvlLbl val="0"/>
      </c:catAx>
      <c:valAx>
        <c:axId val="72422912"/>
        <c:scaling>
          <c:orientation val="minMax"/>
        </c:scaling>
        <c:delete val="1"/>
        <c:axPos val="b"/>
        <c:numFmt formatCode="0%" sourceLinked="1"/>
        <c:majorTickMark val="out"/>
        <c:minorTickMark val="none"/>
        <c:tickLblPos val="nextTo"/>
        <c:crossAx val="72421376"/>
        <c:crosses val="autoZero"/>
        <c:crossBetween val="between"/>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75000000000000022" l="0.70000000000000018" r="0.70000000000000018" t="0.75000000000000022" header="0.51200000000000001" footer="0.51200000000000001"/>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dPt>
          <c:cat>
            <c:strRef>
              <c:f>結果!$R$35</c:f>
              <c:strCache>
                <c:ptCount val="1"/>
                <c:pt idx="0">
                  <c:v>Rank(green star)</c:v>
                </c:pt>
              </c:strCache>
            </c:strRef>
          </c:cat>
          <c:val>
            <c:numRef>
              <c:f>結果!$S$35</c:f>
              <c:numCache>
                <c:formatCode>#,##0.0;[Red]\-#,##0.0</c:formatCode>
                <c:ptCount val="1"/>
                <c:pt idx="0">
                  <c:v>0.4</c:v>
                </c:pt>
              </c:numCache>
            </c:numRef>
          </c:val>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結果!$R$35</c:f>
              <c:strCache>
                <c:ptCount val="1"/>
                <c:pt idx="0">
                  <c:v>Rank(green star)</c:v>
                </c:pt>
              </c:strCache>
            </c:strRef>
          </c:cat>
          <c:val>
            <c:numRef>
              <c:f>結果!$S$36</c:f>
              <c:numCache>
                <c:formatCode>#,##0.0;[Red]\-#,##0.0</c:formatCode>
                <c:ptCount val="1"/>
                <c:pt idx="0">
                  <c:v>0.6</c:v>
                </c:pt>
              </c:numCache>
            </c:numRef>
          </c:val>
        </c:ser>
        <c:dLbls>
          <c:showLegendKey val="0"/>
          <c:showVal val="0"/>
          <c:showCatName val="0"/>
          <c:showSerName val="0"/>
          <c:showPercent val="0"/>
          <c:showBubbleSize val="0"/>
        </c:dLbls>
        <c:gapWidth val="50"/>
        <c:overlap val="100"/>
        <c:axId val="157710592"/>
        <c:axId val="157724032"/>
      </c:barChart>
      <c:catAx>
        <c:axId val="157710592"/>
        <c:scaling>
          <c:orientation val="minMax"/>
        </c:scaling>
        <c:delete val="1"/>
        <c:axPos val="l"/>
        <c:numFmt formatCode="General" sourceLinked="1"/>
        <c:majorTickMark val="out"/>
        <c:minorTickMark val="none"/>
        <c:tickLblPos val="nextTo"/>
        <c:crossAx val="157724032"/>
        <c:crosses val="autoZero"/>
        <c:auto val="1"/>
        <c:lblAlgn val="ctr"/>
        <c:lblOffset val="100"/>
        <c:noMultiLvlLbl val="0"/>
      </c:catAx>
      <c:valAx>
        <c:axId val="157724032"/>
        <c:scaling>
          <c:orientation val="minMax"/>
        </c:scaling>
        <c:delete val="1"/>
        <c:axPos val="b"/>
        <c:numFmt formatCode="0%" sourceLinked="1"/>
        <c:majorTickMark val="out"/>
        <c:minorTickMark val="none"/>
        <c:tickLblPos val="nextTo"/>
        <c:crossAx val="15771059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結果!$S$29</c:f>
              <c:strCache>
                <c:ptCount val="1"/>
                <c:pt idx="0">
                  <c:v>S</c:v>
                </c:pt>
              </c:strCache>
            </c:strRef>
          </c:tx>
          <c:spPr>
            <a:pattFill prst="pct70">
              <a:fgClr>
                <a:srgbClr val="339966"/>
              </a:fgClr>
              <a:bgClr>
                <a:srgbClr val="FFFFFF"/>
              </a:bgClr>
            </a:pattFill>
            <a:ln w="12700">
              <a:solidFill>
                <a:srgbClr val="000000"/>
              </a:solidFill>
              <a:prstDash val="solid"/>
            </a:ln>
          </c:spPr>
          <c:cat>
            <c:numRef>
              <c:f>結果!$T$23:$U$23</c:f>
              <c:numCache>
                <c:formatCode>General</c:formatCode>
                <c:ptCount val="2"/>
                <c:pt idx="0" formatCode="#,##0_);[Red]\(#,##0\)">
                  <c:v>42.15</c:v>
                </c:pt>
                <c:pt idx="1">
                  <c:v>0</c:v>
                </c:pt>
              </c:numCache>
            </c:numRef>
          </c:cat>
          <c:val>
            <c:numRef>
              <c:f>結果!$T$29:$Z$29</c:f>
              <c:numCache>
                <c:formatCode>General</c:formatCode>
                <c:ptCount val="7"/>
                <c:pt idx="0">
                  <c:v>100</c:v>
                </c:pt>
                <c:pt idx="1">
                  <c:v>100</c:v>
                </c:pt>
                <c:pt idx="2">
                  <c:v>100</c:v>
                </c:pt>
                <c:pt idx="3">
                  <c:v>100</c:v>
                </c:pt>
                <c:pt idx="4">
                  <c:v>100</c:v>
                </c:pt>
                <c:pt idx="5">
                  <c:v>100</c:v>
                </c:pt>
                <c:pt idx="6">
                  <c:v>100</c:v>
                </c:pt>
              </c:numCache>
            </c:numRef>
          </c:val>
        </c:ser>
        <c:ser>
          <c:idx val="3"/>
          <c:order val="4"/>
          <c:tx>
            <c:strRef>
              <c:f>結果!$S$30</c:f>
              <c:strCache>
                <c:ptCount val="1"/>
                <c:pt idx="0">
                  <c:v>A</c:v>
                </c:pt>
              </c:strCache>
            </c:strRef>
          </c:tx>
          <c:spPr>
            <a:pattFill prst="pct90">
              <a:fgClr>
                <a:srgbClr val="CCFFCC"/>
              </a:fgClr>
              <a:bgClr>
                <a:srgbClr val="FFFFFF"/>
              </a:bgClr>
            </a:pattFill>
            <a:ln w="12700">
              <a:solidFill>
                <a:srgbClr val="000000"/>
              </a:solidFill>
              <a:prstDash val="solid"/>
            </a:ln>
          </c:spPr>
          <c:cat>
            <c:numRef>
              <c:f>結果!$T$23:$U$23</c:f>
              <c:numCache>
                <c:formatCode>General</c:formatCode>
                <c:ptCount val="2"/>
                <c:pt idx="0" formatCode="#,##0_);[Red]\(#,##0\)">
                  <c:v>42.15</c:v>
                </c:pt>
                <c:pt idx="1">
                  <c:v>0</c:v>
                </c:pt>
              </c:numCache>
            </c:numRef>
          </c:cat>
          <c:val>
            <c:numRef>
              <c:f>結果!$T$30:$Z$30</c:f>
              <c:numCache>
                <c:formatCode>General</c:formatCode>
                <c:ptCount val="7"/>
                <c:pt idx="0">
                  <c:v>50</c:v>
                </c:pt>
                <c:pt idx="1">
                  <c:v>50</c:v>
                </c:pt>
                <c:pt idx="2">
                  <c:v>100</c:v>
                </c:pt>
                <c:pt idx="3">
                  <c:v>100</c:v>
                </c:pt>
                <c:pt idx="4">
                  <c:v>100</c:v>
                </c:pt>
                <c:pt idx="5">
                  <c:v>100</c:v>
                </c:pt>
                <c:pt idx="6">
                  <c:v>100</c:v>
                </c:pt>
              </c:numCache>
            </c:numRef>
          </c:val>
        </c:ser>
        <c:ser>
          <c:idx val="2"/>
          <c:order val="5"/>
          <c:tx>
            <c:strRef>
              <c:f>結果!$S$31</c:f>
              <c:strCache>
                <c:ptCount val="1"/>
                <c:pt idx="0">
                  <c:v>B+</c:v>
                </c:pt>
              </c:strCache>
            </c:strRef>
          </c:tx>
          <c:spPr>
            <a:solidFill>
              <a:srgbClr val="FFFFCC"/>
            </a:solidFill>
            <a:ln w="12700">
              <a:solidFill>
                <a:srgbClr val="000000"/>
              </a:solidFill>
              <a:prstDash val="solid"/>
            </a:ln>
          </c:spPr>
          <c:cat>
            <c:numRef>
              <c:f>結果!$T$23:$U$23</c:f>
              <c:numCache>
                <c:formatCode>General</c:formatCode>
                <c:ptCount val="2"/>
                <c:pt idx="0" formatCode="#,##0_);[Red]\(#,##0\)">
                  <c:v>42.15</c:v>
                </c:pt>
                <c:pt idx="1">
                  <c:v>0</c:v>
                </c:pt>
              </c:numCache>
            </c:numRef>
          </c:cat>
          <c:val>
            <c:numRef>
              <c:f>結果!$T$31:$Z$31</c:f>
              <c:numCache>
                <c:formatCode>General</c:formatCode>
                <c:ptCount val="7"/>
                <c:pt idx="0">
                  <c:v>0</c:v>
                </c:pt>
                <c:pt idx="1">
                  <c:v>25</c:v>
                </c:pt>
                <c:pt idx="2">
                  <c:v>50</c:v>
                </c:pt>
                <c:pt idx="3">
                  <c:v>75</c:v>
                </c:pt>
                <c:pt idx="4">
                  <c:v>100</c:v>
                </c:pt>
                <c:pt idx="5">
                  <c:v>100</c:v>
                </c:pt>
                <c:pt idx="6">
                  <c:v>100</c:v>
                </c:pt>
              </c:numCache>
            </c:numRef>
          </c:val>
        </c:ser>
        <c:ser>
          <c:idx val="1"/>
          <c:order val="6"/>
          <c:tx>
            <c:strRef>
              <c:f>結果!$S$33</c:f>
              <c:strCache>
                <c:ptCount val="1"/>
                <c:pt idx="0">
                  <c:v>B-</c:v>
                </c:pt>
              </c:strCache>
            </c:strRef>
          </c:tx>
          <c:spPr>
            <a:solidFill>
              <a:srgbClr val="FFFFFF"/>
            </a:solidFill>
            <a:ln w="12700">
              <a:solidFill>
                <a:srgbClr val="000000"/>
              </a:solidFill>
              <a:prstDash val="solid"/>
            </a:ln>
          </c:spPr>
          <c:cat>
            <c:numRef>
              <c:f>結果!$T$23:$U$23</c:f>
              <c:numCache>
                <c:formatCode>General</c:formatCode>
                <c:ptCount val="2"/>
                <c:pt idx="0" formatCode="#,##0_);[Red]\(#,##0\)">
                  <c:v>42.15</c:v>
                </c:pt>
                <c:pt idx="1">
                  <c:v>0</c:v>
                </c:pt>
              </c:numCache>
            </c:numRef>
          </c:cat>
          <c:val>
            <c:numRef>
              <c:f>結果!$T$33:$Z$33</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結果!$S$32</c:f>
              <c:strCache>
                <c:ptCount val="1"/>
                <c:pt idx="0">
                  <c:v>B</c:v>
                </c:pt>
              </c:strCache>
            </c:strRef>
          </c:tx>
          <c:spPr>
            <a:noFill/>
            <a:ln w="12700">
              <a:solidFill>
                <a:srgbClr val="000000"/>
              </a:solidFill>
              <a:prstDash val="solid"/>
            </a:ln>
          </c:spPr>
          <c:cat>
            <c:numRef>
              <c:f>結果!$T$23:$U$23</c:f>
              <c:numCache>
                <c:formatCode>General</c:formatCode>
                <c:ptCount val="2"/>
                <c:pt idx="0" formatCode="#,##0_);[Red]\(#,##0\)">
                  <c:v>42.15</c:v>
                </c:pt>
                <c:pt idx="1">
                  <c:v>0</c:v>
                </c:pt>
              </c:numCache>
            </c:numRef>
          </c:cat>
          <c:val>
            <c:numRef>
              <c:f>結果!$T$32:$Z$32</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56388992"/>
        <c:axId val="56407168"/>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結果!$R$25:$U$25</c:f>
              <c:numCache>
                <c:formatCode>General</c:formatCode>
                <c:ptCount val="4"/>
                <c:pt idx="0">
                  <c:v>0</c:v>
                </c:pt>
                <c:pt idx="1">
                  <c:v>42.15</c:v>
                </c:pt>
                <c:pt idx="2" formatCode="#,##0_);[Red]\(#,##0\)">
                  <c:v>42.15</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結果!$R$25:$U$25</c:f>
              <c:numCache>
                <c:formatCode>General</c:formatCode>
                <c:ptCount val="4"/>
                <c:pt idx="0">
                  <c:v>0</c:v>
                </c:pt>
                <c:pt idx="1">
                  <c:v>42.15</c:v>
                </c:pt>
                <c:pt idx="2" formatCode="#,##0_);[Red]\(#,##0\)">
                  <c:v>42.15</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5"/>
          <c:order val="2"/>
          <c:tx>
            <c:strRef>
              <c:f>結果!$S$13</c:f>
              <c:strCache>
                <c:ptCount val="1"/>
                <c:pt idx="0">
                  <c:v>1.1</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結果!$S$23:$U$23</c:f>
              <c:numCache>
                <c:formatCode>#,##0_);[Red]\(#,##0\)</c:formatCode>
                <c:ptCount val="3"/>
                <c:pt idx="1">
                  <c:v>42.15</c:v>
                </c:pt>
                <c:pt idx="2" formatCode="General">
                  <c:v>0</c:v>
                </c:pt>
              </c:numCache>
            </c:numRef>
          </c:xVal>
          <c:yVal>
            <c:numRef>
              <c:f>結果!$S$24:$U$24</c:f>
              <c:numCache>
                <c:formatCode>#,##0_);[Red]\(#,##0\)</c:formatCode>
                <c:ptCount val="3"/>
                <c:pt idx="1">
                  <c:v>50.000000000000014</c:v>
                </c:pt>
                <c:pt idx="2" formatCode="General">
                  <c:v>0</c:v>
                </c:pt>
              </c:numCache>
            </c:numRef>
          </c:yVal>
          <c:smooth val="0"/>
        </c:ser>
        <c:dLbls>
          <c:showLegendKey val="0"/>
          <c:showVal val="0"/>
          <c:showCatName val="0"/>
          <c:showSerName val="0"/>
          <c:showPercent val="0"/>
          <c:showBubbleSize val="0"/>
        </c:dLbls>
        <c:axId val="56408704"/>
        <c:axId val="56422784"/>
      </c:scatterChart>
      <c:catAx>
        <c:axId val="56388992"/>
        <c:scaling>
          <c:orientation val="minMax"/>
        </c:scaling>
        <c:delete val="0"/>
        <c:axPos val="b"/>
        <c:numFmt formatCode="#,##0_);[Red]\(#,##0\)" sourceLinked="1"/>
        <c:majorTickMark val="none"/>
        <c:minorTickMark val="none"/>
        <c:tickLblPos val="none"/>
        <c:spPr>
          <a:ln w="3175">
            <a:solidFill>
              <a:srgbClr val="000000"/>
            </a:solidFill>
            <a:prstDash val="solid"/>
          </a:ln>
        </c:spPr>
        <c:crossAx val="56407168"/>
        <c:crosses val="autoZero"/>
        <c:auto val="0"/>
        <c:lblAlgn val="ctr"/>
        <c:lblOffset val="100"/>
        <c:tickLblSkip val="50"/>
        <c:tickMarkSkip val="50"/>
        <c:noMultiLvlLbl val="0"/>
      </c:catAx>
      <c:valAx>
        <c:axId val="56407168"/>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6388992"/>
        <c:crosses val="autoZero"/>
        <c:crossBetween val="midCat"/>
        <c:majorUnit val="50"/>
      </c:valAx>
      <c:valAx>
        <c:axId val="56408704"/>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6422784"/>
        <c:crosses val="max"/>
        <c:crossBetween val="midCat"/>
        <c:majorUnit val="50"/>
      </c:valAx>
      <c:valAx>
        <c:axId val="5642278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56408704"/>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結果!$S$38</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dPt>
          <c:val>
            <c:numRef>
              <c:f>結果!$S$39:$S$42</c:f>
              <c:numCache>
                <c:formatCode>#,##0_);[Red]\(#,##0\)</c:formatCode>
                <c:ptCount val="4"/>
                <c:pt idx="0">
                  <c:v>13.23</c:v>
                </c:pt>
                <c:pt idx="1">
                  <c:v>13.23</c:v>
                </c:pt>
              </c:numCache>
            </c:numRef>
          </c:val>
        </c:ser>
        <c:ser>
          <c:idx val="1"/>
          <c:order val="1"/>
          <c:tx>
            <c:strRef>
              <c:f>結果!$T$38</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dPt>
          <c:val>
            <c:numRef>
              <c:f>結果!$T$39:$T$42</c:f>
              <c:numCache>
                <c:formatCode>#,##0_);[Red]\(#,##0\)</c:formatCode>
                <c:ptCount val="4"/>
                <c:pt idx="0">
                  <c:v>16.456</c:v>
                </c:pt>
                <c:pt idx="1">
                  <c:v>16.456</c:v>
                </c:pt>
              </c:numCache>
            </c:numRef>
          </c:val>
        </c:ser>
        <c:ser>
          <c:idx val="2"/>
          <c:order val="2"/>
          <c:tx>
            <c:strRef>
              <c:f>結果!$U$38</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dPt>
          <c:val>
            <c:numRef>
              <c:f>結果!$U$39:$U$42</c:f>
              <c:numCache>
                <c:formatCode>#,##0_);[Red]\(#,##0\)</c:formatCode>
                <c:ptCount val="4"/>
                <c:pt idx="0">
                  <c:v>82.100429508196726</c:v>
                </c:pt>
                <c:pt idx="1">
                  <c:v>73.890386557377056</c:v>
                </c:pt>
              </c:numCache>
            </c:numRef>
          </c:val>
        </c:ser>
        <c:ser>
          <c:idx val="3"/>
          <c:order val="3"/>
          <c:tx>
            <c:strRef>
              <c:f>結果!$V$38</c:f>
              <c:strCache>
                <c:ptCount val="1"/>
                <c:pt idx="0">
                  <c:v>オンサイト</c:v>
                </c:pt>
              </c:strCache>
            </c:strRef>
          </c:tx>
          <c:spPr>
            <a:solidFill>
              <a:srgbClr val="C0C0C0"/>
            </a:solidFill>
            <a:ln w="12700">
              <a:solidFill>
                <a:srgbClr val="000000"/>
              </a:solidFill>
              <a:prstDash val="solid"/>
            </a:ln>
          </c:spPr>
          <c:invertIfNegative val="0"/>
          <c:val>
            <c:numRef>
              <c:f>結果!$V$39:$V$42</c:f>
              <c:numCache>
                <c:formatCode>General</c:formatCode>
                <c:ptCount val="4"/>
                <c:pt idx="2" formatCode="#,##0_);[Red]\(#,##0\)">
                  <c:v>103.57638655737705</c:v>
                </c:pt>
              </c:numCache>
            </c:numRef>
          </c:val>
        </c:ser>
        <c:ser>
          <c:idx val="4"/>
          <c:order val="4"/>
          <c:tx>
            <c:strRef>
              <c:f>結果!$W$38</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結果!$W$39:$W$42</c:f>
              <c:numCache>
                <c:formatCode>General</c:formatCode>
                <c:ptCount val="4"/>
                <c:pt idx="3" formatCode="#,##0_);[Red]\(#,##0\)">
                  <c:v>103.57638655737705</c:v>
                </c:pt>
              </c:numCache>
            </c:numRef>
          </c:val>
        </c:ser>
        <c:dLbls>
          <c:showLegendKey val="0"/>
          <c:showVal val="0"/>
          <c:showCatName val="0"/>
          <c:showSerName val="0"/>
          <c:showPercent val="0"/>
          <c:showBubbleSize val="0"/>
        </c:dLbls>
        <c:gapWidth val="50"/>
        <c:overlap val="100"/>
        <c:axId val="56463744"/>
        <c:axId val="56465280"/>
      </c:barChart>
      <c:catAx>
        <c:axId val="56463744"/>
        <c:scaling>
          <c:orientation val="maxMin"/>
        </c:scaling>
        <c:delete val="1"/>
        <c:axPos val="l"/>
        <c:majorTickMark val="out"/>
        <c:minorTickMark val="none"/>
        <c:tickLblPos val="nextTo"/>
        <c:crossAx val="56465280"/>
        <c:crosses val="autoZero"/>
        <c:auto val="1"/>
        <c:lblAlgn val="ctr"/>
        <c:lblOffset val="100"/>
        <c:noMultiLvlLbl val="0"/>
      </c:catAx>
      <c:valAx>
        <c:axId val="56465280"/>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56463744"/>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結果!$W$9:$W$14</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結果!$X$9:$X$14</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結果!$Y$9:$Y$14</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結果!$Z$9:$Z$14</c:f>
              <c:numCache>
                <c:formatCode>General</c:formatCode>
                <c:ptCount val="6"/>
                <c:pt idx="0">
                  <c:v>3</c:v>
                </c:pt>
                <c:pt idx="1">
                  <c:v>3</c:v>
                </c:pt>
                <c:pt idx="2">
                  <c:v>3</c:v>
                </c:pt>
                <c:pt idx="3">
                  <c:v>3</c:v>
                </c:pt>
                <c:pt idx="4">
                  <c:v>3.7</c:v>
                </c:pt>
                <c:pt idx="5">
                  <c:v>3</c:v>
                </c:pt>
              </c:numCache>
            </c:numRef>
          </c:val>
        </c:ser>
        <c:ser>
          <c:idx val="4"/>
          <c:order val="4"/>
          <c:spPr>
            <a:noFill/>
            <a:ln w="12700">
              <a:solidFill>
                <a:srgbClr val="FF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結果!$AA$9:$AA$14</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56523008"/>
        <c:axId val="56549376"/>
      </c:radarChart>
      <c:catAx>
        <c:axId val="565230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56549376"/>
        <c:crosses val="autoZero"/>
        <c:auto val="0"/>
        <c:lblAlgn val="ctr"/>
        <c:lblOffset val="100"/>
        <c:noMultiLvlLbl val="0"/>
      </c:catAx>
      <c:valAx>
        <c:axId val="56549376"/>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56523008"/>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結果!$R$48:$R$51</c:f>
              <c:strCache>
                <c:ptCount val="4"/>
                <c:pt idx="0">
                  <c:v>音環境</c:v>
                </c:pt>
                <c:pt idx="1">
                  <c:v>温熱環境</c:v>
                </c:pt>
                <c:pt idx="2">
                  <c:v>光・視環境</c:v>
                </c:pt>
                <c:pt idx="3">
                  <c:v>空気質環境</c:v>
                </c:pt>
              </c:strCache>
            </c:strRef>
          </c:cat>
          <c:val>
            <c:numRef>
              <c:f>結果!$S$48:$S$51</c:f>
              <c:numCache>
                <c:formatCode>0.0;_Ā</c:formatCode>
                <c:ptCount val="4"/>
                <c:pt idx="0">
                  <c:v>3</c:v>
                </c:pt>
                <c:pt idx="1">
                  <c:v>3</c:v>
                </c:pt>
                <c:pt idx="2">
                  <c:v>3</c:v>
                </c:pt>
                <c:pt idx="3">
                  <c:v>3</c:v>
                </c:pt>
              </c:numCache>
            </c:numRef>
          </c:val>
        </c:ser>
        <c:dLbls>
          <c:showLegendKey val="0"/>
          <c:showVal val="1"/>
          <c:showCatName val="0"/>
          <c:showSerName val="0"/>
          <c:showPercent val="0"/>
          <c:showBubbleSize val="0"/>
        </c:dLbls>
        <c:gapWidth val="40"/>
        <c:axId val="56559104"/>
        <c:axId val="56560640"/>
      </c:barChart>
      <c:catAx>
        <c:axId val="56559104"/>
        <c:scaling>
          <c:orientation val="minMax"/>
        </c:scaling>
        <c:delete val="0"/>
        <c:axPos val="b"/>
        <c:numFmt formatCode="General" sourceLinked="1"/>
        <c:majorTickMark val="none"/>
        <c:minorTickMark val="none"/>
        <c:tickLblPos val="none"/>
        <c:spPr>
          <a:ln w="3175">
            <a:solidFill>
              <a:srgbClr val="000000"/>
            </a:solidFill>
            <a:prstDash val="solid"/>
          </a:ln>
        </c:spPr>
        <c:crossAx val="56560640"/>
        <c:crossesAt val="0"/>
        <c:auto val="1"/>
        <c:lblAlgn val="ctr"/>
        <c:lblOffset val="100"/>
        <c:tickMarkSkip val="1"/>
        <c:noMultiLvlLbl val="0"/>
      </c:catAx>
      <c:valAx>
        <c:axId val="5656064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55910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結果!$U$48:$U$50</c:f>
              <c:strCache>
                <c:ptCount val="3"/>
                <c:pt idx="0">
                  <c:v>機能性</c:v>
                </c:pt>
                <c:pt idx="1">
                  <c:v>耐用性・信頼性</c:v>
                </c:pt>
                <c:pt idx="2">
                  <c:v>対応性･更新性</c:v>
                </c:pt>
              </c:strCache>
            </c:strRef>
          </c:cat>
          <c:val>
            <c:numRef>
              <c:f>結果!$V$48:$V$50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56592256"/>
        <c:axId val="56593792"/>
      </c:barChart>
      <c:catAx>
        <c:axId val="56592256"/>
        <c:scaling>
          <c:orientation val="minMax"/>
        </c:scaling>
        <c:delete val="0"/>
        <c:axPos val="b"/>
        <c:numFmt formatCode="General" sourceLinked="1"/>
        <c:majorTickMark val="none"/>
        <c:minorTickMark val="none"/>
        <c:tickLblPos val="none"/>
        <c:spPr>
          <a:ln w="3175">
            <a:solidFill>
              <a:srgbClr val="000000"/>
            </a:solidFill>
            <a:prstDash val="solid"/>
          </a:ln>
        </c:spPr>
        <c:crossAx val="56593792"/>
        <c:crossesAt val="0"/>
        <c:auto val="1"/>
        <c:lblAlgn val="ctr"/>
        <c:lblOffset val="100"/>
        <c:tickMarkSkip val="1"/>
        <c:noMultiLvlLbl val="0"/>
      </c:catAx>
      <c:valAx>
        <c:axId val="56593792"/>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59225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結果!$X$48:$X$50</c:f>
              <c:strCache>
                <c:ptCount val="3"/>
                <c:pt idx="0">
                  <c:v>生物資源</c:v>
                </c:pt>
                <c:pt idx="1">
                  <c:v>まちなみ景観</c:v>
                </c:pt>
                <c:pt idx="2">
                  <c:v>地域性・文化</c:v>
                </c:pt>
              </c:strCache>
            </c:strRef>
          </c:cat>
          <c:val>
            <c:numRef>
              <c:f>結果!$Y$48:$Y$50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56702848"/>
        <c:axId val="56704384"/>
      </c:barChart>
      <c:catAx>
        <c:axId val="56702848"/>
        <c:scaling>
          <c:orientation val="minMax"/>
        </c:scaling>
        <c:delete val="0"/>
        <c:axPos val="b"/>
        <c:numFmt formatCode="General" sourceLinked="1"/>
        <c:majorTickMark val="none"/>
        <c:minorTickMark val="none"/>
        <c:tickLblPos val="none"/>
        <c:spPr>
          <a:ln w="3175">
            <a:solidFill>
              <a:srgbClr val="000000"/>
            </a:solidFill>
            <a:prstDash val="solid"/>
          </a:ln>
        </c:spPr>
        <c:crossAx val="56704384"/>
        <c:crossesAt val="0"/>
        <c:auto val="1"/>
        <c:lblAlgn val="ctr"/>
        <c:lblOffset val="100"/>
        <c:tickMarkSkip val="1"/>
        <c:noMultiLvlLbl val="0"/>
      </c:catAx>
      <c:valAx>
        <c:axId val="567043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70284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結果!$R$59:$R$62</c:f>
              <c:strCache>
                <c:ptCount val="4"/>
                <c:pt idx="0">
                  <c:v>熱負荷抑制</c:v>
                </c:pt>
                <c:pt idx="1">
                  <c:v>自然ｴﾈﾙｷﾞｰ</c:v>
                </c:pt>
                <c:pt idx="2">
                  <c:v>設備の効率的利用</c:v>
                </c:pt>
                <c:pt idx="3">
                  <c:v>運用ﾏﾈｼﾞﾒﾝﾄ</c:v>
                </c:pt>
              </c:strCache>
            </c:strRef>
          </c:cat>
          <c:val>
            <c:numRef>
              <c:f>結果!$S$59:$S$62</c:f>
              <c:numCache>
                <c:formatCode>#,##0.0;[Red]\-#,##0.0</c:formatCode>
                <c:ptCount val="4"/>
                <c:pt idx="0">
                  <c:v>4</c:v>
                </c:pt>
                <c:pt idx="1">
                  <c:v>3</c:v>
                </c:pt>
                <c:pt idx="2">
                  <c:v>4</c:v>
                </c:pt>
                <c:pt idx="3">
                  <c:v>3</c:v>
                </c:pt>
              </c:numCache>
            </c:numRef>
          </c:val>
        </c:ser>
        <c:dLbls>
          <c:showLegendKey val="0"/>
          <c:showVal val="1"/>
          <c:showCatName val="0"/>
          <c:showSerName val="0"/>
          <c:showPercent val="0"/>
          <c:showBubbleSize val="0"/>
        </c:dLbls>
        <c:gapWidth val="40"/>
        <c:axId val="56740096"/>
        <c:axId val="56745984"/>
      </c:barChart>
      <c:catAx>
        <c:axId val="56740096"/>
        <c:scaling>
          <c:orientation val="minMax"/>
        </c:scaling>
        <c:delete val="0"/>
        <c:axPos val="b"/>
        <c:numFmt formatCode="General" sourceLinked="1"/>
        <c:majorTickMark val="none"/>
        <c:minorTickMark val="none"/>
        <c:tickLblPos val="none"/>
        <c:spPr>
          <a:ln w="3175">
            <a:solidFill>
              <a:srgbClr val="000000"/>
            </a:solidFill>
            <a:prstDash val="solid"/>
          </a:ln>
        </c:spPr>
        <c:crossAx val="56745984"/>
        <c:crossesAt val="0"/>
        <c:auto val="1"/>
        <c:lblAlgn val="ctr"/>
        <c:lblOffset val="100"/>
        <c:tickMarkSkip val="1"/>
        <c:noMultiLvlLbl val="0"/>
      </c:catAx>
      <c:valAx>
        <c:axId val="5674598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56740096"/>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trlProps/ctrlProp1.xml><?xml version="1.0" encoding="utf-8"?>
<formControlPr xmlns="http://schemas.microsoft.com/office/spreadsheetml/2009/9/main" objectType="Radio" firstButton="1" fmlaLink="$O$3"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13" Type="http://schemas.openxmlformats.org/officeDocument/2006/relationships/image" Target="../media/image1.jpeg"/><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2.emf"/><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4</xdr:col>
      <xdr:colOff>857250</xdr:colOff>
      <xdr:row>2</xdr:row>
      <xdr:rowOff>257175</xdr:rowOff>
    </xdr:to>
    <xdr:pic>
      <xdr:nvPicPr>
        <xdr:cNvPr id="3" name="図 4" descr="CASBEE名古屋ロゴ.jpg"/>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3350" y="114300"/>
          <a:ext cx="49149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59">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1">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4</xdr:col>
      <xdr:colOff>57150</xdr:colOff>
      <xdr:row>26</xdr:row>
      <xdr:rowOff>152400</xdr:rowOff>
    </xdr:from>
    <xdr:to>
      <xdr:col>6</xdr:col>
      <xdr:colOff>114300</xdr:colOff>
      <xdr:row>31</xdr:row>
      <xdr:rowOff>66675</xdr:rowOff>
    </xdr:to>
    <xdr:graphicFrame macro="">
      <xdr:nvGraphicFramePr>
        <xdr:cNvPr id="2"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66675</xdr:colOff>
      <xdr:row>31</xdr:row>
      <xdr:rowOff>152400</xdr:rowOff>
    </xdr:from>
    <xdr:to>
      <xdr:col>6</xdr:col>
      <xdr:colOff>123825</xdr:colOff>
      <xdr:row>36</xdr:row>
      <xdr:rowOff>66675</xdr:rowOff>
    </xdr:to>
    <xdr:graphicFrame macro="">
      <xdr:nvGraphicFramePr>
        <xdr:cNvPr id="3"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47625</xdr:colOff>
      <xdr:row>37</xdr:row>
      <xdr:rowOff>0</xdr:rowOff>
    </xdr:from>
    <xdr:to>
      <xdr:col>6</xdr:col>
      <xdr:colOff>104775</xdr:colOff>
      <xdr:row>41</xdr:row>
      <xdr:rowOff>76200</xdr:rowOff>
    </xdr:to>
    <xdr:graphicFrame macro="">
      <xdr:nvGraphicFramePr>
        <xdr:cNvPr id="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104775</xdr:colOff>
      <xdr:row>43</xdr:row>
      <xdr:rowOff>38101</xdr:rowOff>
    </xdr:from>
    <xdr:to>
      <xdr:col>7</xdr:col>
      <xdr:colOff>628650</xdr:colOff>
      <xdr:row>54</xdr:row>
      <xdr:rowOff>152401</xdr:rowOff>
    </xdr:to>
    <xdr:sp macro="" textlink="">
      <xdr:nvSpPr>
        <xdr:cNvPr id="5" name="テキスト ボックス 4"/>
        <xdr:cNvSpPr txBox="1"/>
      </xdr:nvSpPr>
      <xdr:spPr bwMode="auto">
        <a:xfrm>
          <a:off x="247650" y="7905751"/>
          <a:ext cx="6543675" cy="20002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100"/>
            </a:lnSpc>
          </a:pPr>
          <a:r>
            <a:rPr kumimoji="1" lang="ja-JP" altLang="en-US" sz="1000">
              <a:latin typeface="+mn-ea"/>
              <a:ea typeface="+mn-ea"/>
            </a:rPr>
            <a:t>重点項目のスコアは以下のように算出している。</a:t>
          </a:r>
          <a:endParaRPr kumimoji="1" lang="en-US" altLang="ja-JP" sz="1000">
            <a:latin typeface="+mn-ea"/>
            <a:ea typeface="+mn-ea"/>
          </a:endParaRPr>
        </a:p>
        <a:p>
          <a:pPr>
            <a:lnSpc>
              <a:spcPts val="1100"/>
            </a:lnSpc>
          </a:pPr>
          <a:endParaRPr kumimoji="1" lang="en-US" altLang="ja-JP" sz="1000">
            <a:latin typeface="+mn-ea"/>
            <a:ea typeface="+mn-ea"/>
          </a:endParaRPr>
        </a:p>
        <a:p>
          <a:pPr>
            <a:lnSpc>
              <a:spcPts val="400"/>
            </a:lnSpc>
          </a:pPr>
          <a:r>
            <a:rPr kumimoji="1" lang="ja-JP" altLang="en-US" sz="1000">
              <a:latin typeface="+mn-ea"/>
              <a:ea typeface="+mn-ea"/>
            </a:rPr>
            <a:t>　　　　　　　　　　　　　　</a:t>
          </a:r>
          <a:r>
            <a:rPr kumimoji="1" lang="ja-JP" altLang="en-US" sz="1000" u="sng">
              <a:latin typeface="+mn-ea"/>
              <a:ea typeface="+mn-ea"/>
            </a:rPr>
            <a:t>（評価点</a:t>
          </a:r>
          <a:r>
            <a:rPr kumimoji="1" lang="en-US" altLang="ja-JP" sz="1000" u="sng">
              <a:latin typeface="+mn-ea"/>
              <a:ea typeface="+mn-ea"/>
            </a:rPr>
            <a:t>×</a:t>
          </a:r>
          <a:r>
            <a:rPr kumimoji="1" lang="ja-JP" altLang="en-US" sz="1000" u="sng">
              <a:latin typeface="+mn-ea"/>
              <a:ea typeface="+mn-ea"/>
            </a:rPr>
            <a:t>全体に対する重み）の総和</a:t>
          </a:r>
          <a:endParaRPr kumimoji="1" lang="en-US" altLang="ja-JP" sz="1000" u="sng">
            <a:latin typeface="+mn-ea"/>
            <a:ea typeface="+mn-ea"/>
          </a:endParaRPr>
        </a:p>
        <a:p>
          <a:pPr>
            <a:lnSpc>
              <a:spcPts val="500"/>
            </a:lnSpc>
          </a:pPr>
          <a:r>
            <a:rPr kumimoji="1" lang="ja-JP" altLang="en-US" sz="1000">
              <a:latin typeface="+mn-ea"/>
              <a:ea typeface="+mn-ea"/>
            </a:rPr>
            <a:t>　　重点項目スコア＝</a:t>
          </a:r>
          <a:r>
            <a:rPr kumimoji="1" lang="en-US" altLang="ja-JP" sz="1000" baseline="0">
              <a:latin typeface="+mn-ea"/>
              <a:ea typeface="+mn-ea"/>
            </a:rPr>
            <a:t>                                                     </a:t>
          </a:r>
          <a:r>
            <a:rPr kumimoji="1" lang="ja-JP" altLang="en-US" sz="1000">
              <a:latin typeface="+mn-ea"/>
              <a:ea typeface="+mn-ea"/>
            </a:rPr>
            <a:t>　　　　　　　　　　　　　　　　　　　　　</a:t>
          </a:r>
          <a:endParaRPr kumimoji="1" lang="en-US" altLang="ja-JP" sz="1000">
            <a:latin typeface="+mn-ea"/>
            <a:ea typeface="+mn-ea"/>
          </a:endParaRPr>
        </a:p>
        <a:p>
          <a:pPr>
            <a:lnSpc>
              <a:spcPts val="400"/>
            </a:lnSpc>
          </a:pPr>
          <a:r>
            <a:rPr kumimoji="1" lang="ja-JP" altLang="en-US" sz="1000">
              <a:latin typeface="+mn-ea"/>
              <a:ea typeface="+mn-ea"/>
            </a:rPr>
            <a:t>　　　　　　　　　　　　　　　　　　全体に対する重みの総和</a:t>
          </a:r>
          <a:endParaRPr kumimoji="1" lang="en-US" altLang="ja-JP" sz="1000">
            <a:latin typeface="+mn-ea"/>
            <a:ea typeface="+mn-ea"/>
          </a:endParaRPr>
        </a:p>
        <a:p>
          <a:pPr>
            <a:lnSpc>
              <a:spcPts val="1100"/>
            </a:lnSpc>
          </a:pPr>
          <a:endParaRPr kumimoji="1" lang="en-US" altLang="ja-JP" sz="1000">
            <a:latin typeface="+mn-ea"/>
            <a:ea typeface="+mn-ea"/>
          </a:endParaRPr>
        </a:p>
        <a:p>
          <a:pPr>
            <a:lnSpc>
              <a:spcPts val="1000"/>
            </a:lnSpc>
          </a:pPr>
          <a:r>
            <a:rPr kumimoji="1" lang="en-US" altLang="ja-JP" sz="900">
              <a:latin typeface="+mn-ea"/>
              <a:ea typeface="+mn-ea"/>
            </a:rPr>
            <a:t>※</a:t>
          </a:r>
          <a:r>
            <a:rPr kumimoji="1" lang="ja-JP" altLang="en-US" sz="900">
              <a:latin typeface="+mn-ea"/>
              <a:ea typeface="+mn-ea"/>
            </a:rPr>
            <a:t>１　ここでは、Ｑ３．３．１の評価する取組みのうち評価項目　Ｉ　２）地域性のある材料の使用　又は、</a:t>
          </a:r>
          <a:r>
            <a:rPr kumimoji="1" lang="ja-JP" altLang="ja-JP" sz="900">
              <a:solidFill>
                <a:schemeClr val="dk1"/>
              </a:solidFill>
              <a:latin typeface="+mn-lt"/>
              <a:ea typeface="+mn-ea"/>
              <a:cs typeface="+mn-cs"/>
            </a:rPr>
            <a:t>Ｑ３．２において評価する取組みのうち評価項目</a:t>
          </a:r>
          <a:r>
            <a:rPr kumimoji="1" lang="ja-JP" altLang="en-US" sz="900">
              <a:solidFill>
                <a:schemeClr val="dk1"/>
              </a:solidFill>
              <a:latin typeface="+mn-lt"/>
              <a:ea typeface="+mn-ea"/>
              <a:cs typeface="+mn-cs"/>
            </a:rPr>
            <a:t>　</a:t>
          </a:r>
          <a:r>
            <a:rPr kumimoji="1" lang="ja-JP" altLang="ja-JP" sz="900">
              <a:solidFill>
                <a:schemeClr val="dk1"/>
              </a:solidFill>
              <a:latin typeface="+mn-lt"/>
              <a:ea typeface="+mn-ea"/>
              <a:cs typeface="+mn-cs"/>
            </a:rPr>
            <a:t>４）地域性のある素材による良好な景観形成</a:t>
          </a:r>
          <a:r>
            <a:rPr kumimoji="1" lang="ja-JP" altLang="en-US" sz="900">
              <a:solidFill>
                <a:schemeClr val="dk1"/>
              </a:solidFill>
              <a:latin typeface="+mn-lt"/>
              <a:ea typeface="+mn-ea"/>
              <a:cs typeface="+mn-cs"/>
            </a:rPr>
            <a:t>　のいずれか</a:t>
          </a:r>
          <a:r>
            <a:rPr kumimoji="1" lang="ja-JP" altLang="en-US" sz="900">
              <a:latin typeface="+mn-ea"/>
              <a:ea typeface="+mn-ea"/>
            </a:rPr>
            <a:t>でポイントがある場合は「有」、ない場合は「無」を評価とした。重点項目スコアの算出における評価点は評価「有」の場合は５、「無」の場合は１とし、重みはＱ３．３．１の全体に対する重みに０．２を乗じたものとしている。</a:t>
          </a:r>
          <a:endParaRPr kumimoji="1" lang="en-US" altLang="ja-JP" sz="900">
            <a:latin typeface="+mn-ea"/>
            <a:ea typeface="+mn-ea"/>
          </a:endParaRPr>
        </a:p>
        <a:p>
          <a:pPr>
            <a:lnSpc>
              <a:spcPts val="1100"/>
            </a:lnSpc>
          </a:pPr>
          <a:endParaRPr kumimoji="1" lang="en-US" altLang="ja-JP" sz="900">
            <a:latin typeface="+mn-ea"/>
            <a:ea typeface="+mn-ea"/>
          </a:endParaRPr>
        </a:p>
        <a:p>
          <a:pPr>
            <a:lnSpc>
              <a:spcPts val="1000"/>
            </a:lnSpc>
          </a:pPr>
          <a:r>
            <a:rPr kumimoji="1" lang="en-US" altLang="ja-JP" sz="900">
              <a:latin typeface="+mn-ea"/>
              <a:ea typeface="+mn-ea"/>
            </a:rPr>
            <a:t>※</a:t>
          </a:r>
          <a:r>
            <a:rPr kumimoji="1" lang="ja-JP" altLang="en-US" sz="900">
              <a:latin typeface="+mn-ea"/>
              <a:ea typeface="+mn-ea"/>
            </a:rPr>
            <a:t>２　ここでは、ＬＲ３．２．３のうち、ＬＲ３．２．３．３　交通負荷抑制　を除いたもので評価点及び全体に対する重み係数を算出している。したがって、ここでの評価点はスコアシートにおけるＬＲ３．２．３の評価点とは異なるものである。</a:t>
          </a:r>
          <a:endParaRPr kumimoji="1" lang="en-US" altLang="ja-JP" sz="9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200"/>
            </a:lnSpc>
          </a:pPr>
          <a:endParaRPr kumimoji="1" lang="en-US" altLang="ja-JP" sz="1000">
            <a:latin typeface="+mn-ea"/>
            <a:ea typeface="+mn-ea"/>
          </a:endParaRPr>
        </a:p>
        <a:p>
          <a:pPr>
            <a:lnSpc>
              <a:spcPts val="1000"/>
            </a:lnSpc>
          </a:pPr>
          <a:endParaRPr kumimoji="1" lang="ja-JP" altLang="en-US" sz="1000"/>
        </a:p>
      </xdr:txBody>
    </xdr:sp>
    <xdr:clientData/>
  </xdr:twoCellAnchor>
  <xdr:twoCellAnchor>
    <xdr:from>
      <xdr:col>5</xdr:col>
      <xdr:colOff>390525</xdr:colOff>
      <xdr:row>1</xdr:row>
      <xdr:rowOff>123825</xdr:rowOff>
    </xdr:from>
    <xdr:to>
      <xdr:col>8</xdr:col>
      <xdr:colOff>0</xdr:colOff>
      <xdr:row>3</xdr:row>
      <xdr:rowOff>133350</xdr:rowOff>
    </xdr:to>
    <xdr:grpSp>
      <xdr:nvGrpSpPr>
        <xdr:cNvPr id="6" name="グループ化 120"/>
        <xdr:cNvGrpSpPr>
          <a:grpSpLocks/>
        </xdr:cNvGrpSpPr>
      </xdr:nvGrpSpPr>
      <xdr:grpSpPr bwMode="auto">
        <a:xfrm>
          <a:off x="4895850" y="295275"/>
          <a:ext cx="1952625" cy="352425"/>
          <a:chOff x="4543425" y="0"/>
          <a:chExt cx="1609224" cy="295275"/>
        </a:xfrm>
      </xdr:grpSpPr>
      <xdr:sp macro="" textlink="">
        <xdr:nvSpPr>
          <xdr:cNvPr id="7" name="Freeform 585"/>
          <xdr:cNvSpPr>
            <a:spLocks noEditPoints="1"/>
          </xdr:cNvSpPr>
        </xdr:nvSpPr>
        <xdr:spPr bwMode="auto">
          <a:xfrm>
            <a:off x="4718977" y="9525"/>
            <a:ext cx="273080" cy="285750"/>
          </a:xfrm>
          <a:custGeom>
            <a:avLst/>
            <a:gdLst>
              <a:gd name="T0" fmla="*/ 2147483647 w 122"/>
              <a:gd name="T1" fmla="*/ 2147483647 h 118"/>
              <a:gd name="T2" fmla="*/ 2147483647 w 122"/>
              <a:gd name="T3" fmla="*/ 2147483647 h 118"/>
              <a:gd name="T4" fmla="*/ 2147483647 w 122"/>
              <a:gd name="T5" fmla="*/ 2147483647 h 118"/>
              <a:gd name="T6" fmla="*/ 2147483647 w 122"/>
              <a:gd name="T7" fmla="*/ 2147483647 h 118"/>
              <a:gd name="T8" fmla="*/ 2147483647 w 122"/>
              <a:gd name="T9" fmla="*/ 2147483647 h 118"/>
              <a:gd name="T10" fmla="*/ 2147483647 w 122"/>
              <a:gd name="T11" fmla="*/ 2147483647 h 118"/>
              <a:gd name="T12" fmla="*/ 2147483647 w 122"/>
              <a:gd name="T13" fmla="*/ 2147483647 h 118"/>
              <a:gd name="T14" fmla="*/ 2147483647 w 122"/>
              <a:gd name="T15" fmla="*/ 2147483647 h 118"/>
              <a:gd name="T16" fmla="*/ 2147483647 w 122"/>
              <a:gd name="T17" fmla="*/ 2147483647 h 118"/>
              <a:gd name="T18" fmla="*/ 2147483647 w 122"/>
              <a:gd name="T19" fmla="*/ 2147483647 h 118"/>
              <a:gd name="T20" fmla="*/ 2147483647 w 122"/>
              <a:gd name="T21" fmla="*/ 2147483647 h 118"/>
              <a:gd name="T22" fmla="*/ 2147483647 w 122"/>
              <a:gd name="T23" fmla="*/ 2147483647 h 118"/>
              <a:gd name="T24" fmla="*/ 2147483647 w 122"/>
              <a:gd name="T25" fmla="*/ 2147483647 h 118"/>
              <a:gd name="T26" fmla="*/ 2147483647 w 122"/>
              <a:gd name="T27" fmla="*/ 2147483647 h 118"/>
              <a:gd name="T28" fmla="*/ 2147483647 w 122"/>
              <a:gd name="T29" fmla="*/ 2147483647 h 118"/>
              <a:gd name="T30" fmla="*/ 2147483647 w 122"/>
              <a:gd name="T31" fmla="*/ 2147483647 h 118"/>
              <a:gd name="T32" fmla="*/ 2147483647 w 122"/>
              <a:gd name="T33" fmla="*/ 2147483647 h 118"/>
              <a:gd name="T34" fmla="*/ 2147483647 w 122"/>
              <a:gd name="T35" fmla="*/ 0 h 118"/>
              <a:gd name="T36" fmla="*/ 2147483647 w 122"/>
              <a:gd name="T37" fmla="*/ 2147483647 h 118"/>
              <a:gd name="T38" fmla="*/ 2147483647 w 122"/>
              <a:gd name="T39" fmla="*/ 2147483647 h 118"/>
              <a:gd name="T40" fmla="*/ 2147483647 w 122"/>
              <a:gd name="T41" fmla="*/ 0 h 118"/>
              <a:gd name="T42" fmla="*/ 2147483647 w 122"/>
              <a:gd name="T43" fmla="*/ 0 h 118"/>
              <a:gd name="T44" fmla="*/ 2147483647 w 122"/>
              <a:gd name="T45" fmla="*/ 0 h 118"/>
              <a:gd name="T46" fmla="*/ 2147483647 w 122"/>
              <a:gd name="T47" fmla="*/ 2147483647 h 118"/>
              <a:gd name="T48" fmla="*/ 2147483647 w 122"/>
              <a:gd name="T49" fmla="*/ 2147483647 h 118"/>
              <a:gd name="T50" fmla="*/ 2147483647 w 122"/>
              <a:gd name="T51" fmla="*/ 2147483647 h 118"/>
              <a:gd name="T52" fmla="*/ 2147483647 w 122"/>
              <a:gd name="T53" fmla="*/ 2147483647 h 118"/>
              <a:gd name="T54" fmla="*/ 2147483647 w 122"/>
              <a:gd name="T55" fmla="*/ 2147483647 h 118"/>
              <a:gd name="T56" fmla="*/ 2147483647 w 122"/>
              <a:gd name="T57" fmla="*/ 2147483647 h 118"/>
              <a:gd name="T58" fmla="*/ 2147483647 w 122"/>
              <a:gd name="T59" fmla="*/ 2147483647 h 118"/>
              <a:gd name="T60" fmla="*/ 2147483647 w 122"/>
              <a:gd name="T61" fmla="*/ 2147483647 h 118"/>
              <a:gd name="T62" fmla="*/ 2147483647 w 122"/>
              <a:gd name="T63" fmla="*/ 2147483647 h 118"/>
              <a:gd name="T64" fmla="*/ 2147483647 w 122"/>
              <a:gd name="T65" fmla="*/ 2147483647 h 118"/>
              <a:gd name="T66" fmla="*/ 2147483647 w 122"/>
              <a:gd name="T67" fmla="*/ 2147483647 h 118"/>
              <a:gd name="T68" fmla="*/ 2147483647 w 122"/>
              <a:gd name="T69" fmla="*/ 2147483647 h 118"/>
              <a:gd name="T70" fmla="*/ 2147483647 w 122"/>
              <a:gd name="T71" fmla="*/ 2147483647 h 118"/>
              <a:gd name="T72" fmla="*/ 2147483647 w 122"/>
              <a:gd name="T73" fmla="*/ 2147483647 h 118"/>
              <a:gd name="T74" fmla="*/ 2147483647 w 122"/>
              <a:gd name="T75" fmla="*/ 0 h 118"/>
              <a:gd name="T76" fmla="*/ 2147483647 w 122"/>
              <a:gd name="T77" fmla="*/ 0 h 118"/>
              <a:gd name="T78" fmla="*/ 0 w 122"/>
              <a:gd name="T79" fmla="*/ 2147483647 h 118"/>
              <a:gd name="T80" fmla="*/ 0 w 122"/>
              <a:gd name="T81" fmla="*/ 2147483647 h 118"/>
              <a:gd name="T82" fmla="*/ 2147483647 w 122"/>
              <a:gd name="T83" fmla="*/ 2147483647 h 118"/>
              <a:gd name="T84" fmla="*/ 2147483647 w 122"/>
              <a:gd name="T85" fmla="*/ 2147483647 h 118"/>
              <a:gd name="T86" fmla="*/ 0 w 122"/>
              <a:gd name="T87" fmla="*/ 2147483647 h 118"/>
              <a:gd name="T88" fmla="*/ 2147483647 w 122"/>
              <a:gd name="T89" fmla="*/ 2147483647 h 118"/>
              <a:gd name="T90" fmla="*/ 2147483647 w 122"/>
              <a:gd name="T91" fmla="*/ 2147483647 h 118"/>
              <a:gd name="T92" fmla="*/ 2147483647 w 122"/>
              <a:gd name="T93" fmla="*/ 2147483647 h 118"/>
              <a:gd name="T94" fmla="*/ 2147483647 w 122"/>
              <a:gd name="T95" fmla="*/ 2147483647 h 118"/>
              <a:gd name="T96" fmla="*/ 2147483647 w 122"/>
              <a:gd name="T97" fmla="*/ 2147483647 h 118"/>
              <a:gd name="T98" fmla="*/ 2147483647 w 122"/>
              <a:gd name="T99" fmla="*/ 2147483647 h 118"/>
              <a:gd name="T100" fmla="*/ 2147483647 w 122"/>
              <a:gd name="T101" fmla="*/ 2147483647 h 118"/>
              <a:gd name="T102" fmla="*/ 2147483647 w 122"/>
              <a:gd name="T103" fmla="*/ 2147483647 h 118"/>
              <a:gd name="T104" fmla="*/ 2147483647 w 122"/>
              <a:gd name="T105" fmla="*/ 2147483647 h 118"/>
              <a:gd name="T106" fmla="*/ 2147483647 w 122"/>
              <a:gd name="T107" fmla="*/ 2147483647 h 118"/>
              <a:gd name="T108" fmla="*/ 2147483647 w 122"/>
              <a:gd name="T109" fmla="*/ 2147483647 h 118"/>
              <a:gd name="T110" fmla="*/ 2147483647 w 122"/>
              <a:gd name="T111" fmla="*/ 2147483647 h 118"/>
              <a:gd name="T112" fmla="*/ 2147483647 w 122"/>
              <a:gd name="T113" fmla="*/ 2147483647 h 118"/>
              <a:gd name="T114" fmla="*/ 2147483647 w 122"/>
              <a:gd name="T115" fmla="*/ 2147483647 h 118"/>
              <a:gd name="T116" fmla="*/ 2147483647 w 122"/>
              <a:gd name="T117" fmla="*/ 2147483647 h 118"/>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60000 65536"/>
              <a:gd name="T175" fmla="*/ 0 60000 65536"/>
              <a:gd name="T176" fmla="*/ 0 60000 65536"/>
              <a:gd name="T177" fmla="*/ 0 w 122"/>
              <a:gd name="T178" fmla="*/ 0 h 118"/>
              <a:gd name="T179" fmla="*/ 122 w 122"/>
              <a:gd name="T180" fmla="*/ 118 h 118"/>
            </a:gdLst>
            <a:ahLst/>
            <a:cxnLst>
              <a:cxn ang="T118">
                <a:pos x="T0" y="T1"/>
              </a:cxn>
              <a:cxn ang="T119">
                <a:pos x="T2" y="T3"/>
              </a:cxn>
              <a:cxn ang="T120">
                <a:pos x="T4" y="T5"/>
              </a:cxn>
              <a:cxn ang="T121">
                <a:pos x="T6" y="T7"/>
              </a:cxn>
              <a:cxn ang="T122">
                <a:pos x="T8" y="T9"/>
              </a:cxn>
              <a:cxn ang="T123">
                <a:pos x="T10" y="T11"/>
              </a:cxn>
              <a:cxn ang="T124">
                <a:pos x="T12" y="T13"/>
              </a:cxn>
              <a:cxn ang="T125">
                <a:pos x="T14" y="T15"/>
              </a:cxn>
              <a:cxn ang="T126">
                <a:pos x="T16" y="T17"/>
              </a:cxn>
              <a:cxn ang="T127">
                <a:pos x="T18" y="T19"/>
              </a:cxn>
              <a:cxn ang="T128">
                <a:pos x="T20" y="T21"/>
              </a:cxn>
              <a:cxn ang="T129">
                <a:pos x="T22" y="T23"/>
              </a:cxn>
              <a:cxn ang="T130">
                <a:pos x="T24" y="T25"/>
              </a:cxn>
              <a:cxn ang="T131">
                <a:pos x="T26" y="T27"/>
              </a:cxn>
              <a:cxn ang="T132">
                <a:pos x="T28" y="T29"/>
              </a:cxn>
              <a:cxn ang="T133">
                <a:pos x="T30" y="T31"/>
              </a:cxn>
              <a:cxn ang="T134">
                <a:pos x="T32" y="T33"/>
              </a:cxn>
              <a:cxn ang="T135">
                <a:pos x="T34" y="T35"/>
              </a:cxn>
              <a:cxn ang="T136">
                <a:pos x="T36" y="T37"/>
              </a:cxn>
              <a:cxn ang="T137">
                <a:pos x="T38" y="T39"/>
              </a:cxn>
              <a:cxn ang="T138">
                <a:pos x="T40" y="T41"/>
              </a:cxn>
              <a:cxn ang="T139">
                <a:pos x="T42" y="T43"/>
              </a:cxn>
              <a:cxn ang="T140">
                <a:pos x="T44" y="T45"/>
              </a:cxn>
              <a:cxn ang="T141">
                <a:pos x="T46" y="T47"/>
              </a:cxn>
              <a:cxn ang="T142">
                <a:pos x="T48" y="T49"/>
              </a:cxn>
              <a:cxn ang="T143">
                <a:pos x="T50" y="T51"/>
              </a:cxn>
              <a:cxn ang="T144">
                <a:pos x="T52" y="T53"/>
              </a:cxn>
              <a:cxn ang="T145">
                <a:pos x="T54" y="T55"/>
              </a:cxn>
              <a:cxn ang="T146">
                <a:pos x="T56" y="T57"/>
              </a:cxn>
              <a:cxn ang="T147">
                <a:pos x="T58" y="T59"/>
              </a:cxn>
              <a:cxn ang="T148">
                <a:pos x="T60" y="T61"/>
              </a:cxn>
              <a:cxn ang="T149">
                <a:pos x="T62" y="T63"/>
              </a:cxn>
              <a:cxn ang="T150">
                <a:pos x="T64" y="T65"/>
              </a:cxn>
              <a:cxn ang="T151">
                <a:pos x="T66" y="T67"/>
              </a:cxn>
              <a:cxn ang="T152">
                <a:pos x="T68" y="T69"/>
              </a:cxn>
              <a:cxn ang="T153">
                <a:pos x="T70" y="T71"/>
              </a:cxn>
              <a:cxn ang="T154">
                <a:pos x="T72" y="T73"/>
              </a:cxn>
              <a:cxn ang="T155">
                <a:pos x="T74" y="T75"/>
              </a:cxn>
              <a:cxn ang="T156">
                <a:pos x="T76" y="T77"/>
              </a:cxn>
              <a:cxn ang="T157">
                <a:pos x="T78" y="T79"/>
              </a:cxn>
              <a:cxn ang="T158">
                <a:pos x="T80" y="T81"/>
              </a:cxn>
              <a:cxn ang="T159">
                <a:pos x="T82" y="T83"/>
              </a:cxn>
              <a:cxn ang="T160">
                <a:pos x="T84" y="T85"/>
              </a:cxn>
              <a:cxn ang="T161">
                <a:pos x="T86" y="T87"/>
              </a:cxn>
              <a:cxn ang="T162">
                <a:pos x="T88" y="T89"/>
              </a:cxn>
              <a:cxn ang="T163">
                <a:pos x="T90" y="T91"/>
              </a:cxn>
              <a:cxn ang="T164">
                <a:pos x="T92" y="T93"/>
              </a:cxn>
              <a:cxn ang="T165">
                <a:pos x="T94" y="T95"/>
              </a:cxn>
              <a:cxn ang="T166">
                <a:pos x="T96" y="T97"/>
              </a:cxn>
              <a:cxn ang="T167">
                <a:pos x="T98" y="T99"/>
              </a:cxn>
              <a:cxn ang="T168">
                <a:pos x="T100" y="T101"/>
              </a:cxn>
              <a:cxn ang="T169">
                <a:pos x="T102" y="T103"/>
              </a:cxn>
              <a:cxn ang="T170">
                <a:pos x="T104" y="T105"/>
              </a:cxn>
              <a:cxn ang="T171">
                <a:pos x="T106" y="T107"/>
              </a:cxn>
              <a:cxn ang="T172">
                <a:pos x="T108" y="T109"/>
              </a:cxn>
              <a:cxn ang="T173">
                <a:pos x="T110" y="T111"/>
              </a:cxn>
              <a:cxn ang="T174">
                <a:pos x="T112" y="T113"/>
              </a:cxn>
              <a:cxn ang="T175">
                <a:pos x="T114" y="T115"/>
              </a:cxn>
              <a:cxn ang="T176">
                <a:pos x="T116" y="T117"/>
              </a:cxn>
            </a:cxnLst>
            <a:rect l="T177" t="T178" r="T179" b="T180"/>
            <a:pathLst>
              <a:path w="122" h="118">
                <a:moveTo>
                  <a:pt x="34" y="103"/>
                </a:moveTo>
                <a:cubicBezTo>
                  <a:pt x="14" y="103"/>
                  <a:pt x="14" y="103"/>
                  <a:pt x="14" y="103"/>
                </a:cubicBezTo>
                <a:cubicBezTo>
                  <a:pt x="14" y="84"/>
                  <a:pt x="14" y="84"/>
                  <a:pt x="14" y="84"/>
                </a:cubicBezTo>
                <a:cubicBezTo>
                  <a:pt x="34" y="84"/>
                  <a:pt x="34" y="84"/>
                  <a:pt x="34" y="84"/>
                </a:cubicBezTo>
                <a:lnTo>
                  <a:pt x="34" y="103"/>
                </a:lnTo>
                <a:close/>
                <a:moveTo>
                  <a:pt x="4" y="56"/>
                </a:moveTo>
                <a:cubicBezTo>
                  <a:pt x="4" y="65"/>
                  <a:pt x="4" y="65"/>
                  <a:pt x="4" y="65"/>
                </a:cubicBezTo>
                <a:cubicBezTo>
                  <a:pt x="45" y="65"/>
                  <a:pt x="45" y="65"/>
                  <a:pt x="45" y="65"/>
                </a:cubicBezTo>
                <a:cubicBezTo>
                  <a:pt x="45" y="56"/>
                  <a:pt x="45" y="56"/>
                  <a:pt x="45" y="56"/>
                </a:cubicBezTo>
                <a:lnTo>
                  <a:pt x="4" y="56"/>
                </a:lnTo>
                <a:close/>
                <a:moveTo>
                  <a:pt x="4" y="75"/>
                </a:moveTo>
                <a:cubicBezTo>
                  <a:pt x="4" y="118"/>
                  <a:pt x="4" y="118"/>
                  <a:pt x="4" y="118"/>
                </a:cubicBezTo>
                <a:cubicBezTo>
                  <a:pt x="14" y="118"/>
                  <a:pt x="14" y="118"/>
                  <a:pt x="14" y="118"/>
                </a:cubicBezTo>
                <a:cubicBezTo>
                  <a:pt x="14" y="112"/>
                  <a:pt x="14" y="112"/>
                  <a:pt x="14" y="112"/>
                </a:cubicBezTo>
                <a:cubicBezTo>
                  <a:pt x="45" y="112"/>
                  <a:pt x="45" y="112"/>
                  <a:pt x="45" y="112"/>
                </a:cubicBezTo>
                <a:cubicBezTo>
                  <a:pt x="45" y="75"/>
                  <a:pt x="45" y="75"/>
                  <a:pt x="45" y="75"/>
                </a:cubicBezTo>
                <a:lnTo>
                  <a:pt x="4" y="75"/>
                </a:lnTo>
                <a:close/>
                <a:moveTo>
                  <a:pt x="4" y="0"/>
                </a:moveTo>
                <a:cubicBezTo>
                  <a:pt x="4" y="10"/>
                  <a:pt x="4" y="10"/>
                  <a:pt x="4" y="10"/>
                </a:cubicBezTo>
                <a:cubicBezTo>
                  <a:pt x="45" y="10"/>
                  <a:pt x="45" y="10"/>
                  <a:pt x="45" y="10"/>
                </a:cubicBezTo>
                <a:cubicBezTo>
                  <a:pt x="45" y="0"/>
                  <a:pt x="45" y="0"/>
                  <a:pt x="45" y="0"/>
                </a:cubicBezTo>
                <a:lnTo>
                  <a:pt x="4" y="0"/>
                </a:lnTo>
                <a:close/>
                <a:moveTo>
                  <a:pt x="54" y="0"/>
                </a:moveTo>
                <a:cubicBezTo>
                  <a:pt x="54" y="10"/>
                  <a:pt x="54" y="10"/>
                  <a:pt x="54" y="10"/>
                </a:cubicBezTo>
                <a:cubicBezTo>
                  <a:pt x="82" y="10"/>
                  <a:pt x="82" y="10"/>
                  <a:pt x="82" y="10"/>
                </a:cubicBezTo>
                <a:cubicBezTo>
                  <a:pt x="82" y="60"/>
                  <a:pt x="82" y="60"/>
                  <a:pt x="82" y="60"/>
                </a:cubicBezTo>
                <a:cubicBezTo>
                  <a:pt x="51" y="60"/>
                  <a:pt x="51" y="60"/>
                  <a:pt x="51" y="60"/>
                </a:cubicBezTo>
                <a:cubicBezTo>
                  <a:pt x="51" y="70"/>
                  <a:pt x="51" y="70"/>
                  <a:pt x="51" y="70"/>
                </a:cubicBezTo>
                <a:cubicBezTo>
                  <a:pt x="82" y="70"/>
                  <a:pt x="82" y="70"/>
                  <a:pt x="82" y="70"/>
                </a:cubicBezTo>
                <a:cubicBezTo>
                  <a:pt x="82" y="118"/>
                  <a:pt x="82" y="118"/>
                  <a:pt x="82" y="118"/>
                </a:cubicBezTo>
                <a:cubicBezTo>
                  <a:pt x="93" y="118"/>
                  <a:pt x="93" y="118"/>
                  <a:pt x="93" y="118"/>
                </a:cubicBezTo>
                <a:cubicBezTo>
                  <a:pt x="93" y="70"/>
                  <a:pt x="93" y="70"/>
                  <a:pt x="93" y="70"/>
                </a:cubicBezTo>
                <a:cubicBezTo>
                  <a:pt x="122" y="70"/>
                  <a:pt x="122" y="70"/>
                  <a:pt x="122" y="70"/>
                </a:cubicBezTo>
                <a:cubicBezTo>
                  <a:pt x="122" y="60"/>
                  <a:pt x="122" y="60"/>
                  <a:pt x="122" y="60"/>
                </a:cubicBezTo>
                <a:cubicBezTo>
                  <a:pt x="93" y="60"/>
                  <a:pt x="93" y="60"/>
                  <a:pt x="93" y="60"/>
                </a:cubicBezTo>
                <a:cubicBezTo>
                  <a:pt x="93" y="10"/>
                  <a:pt x="93" y="10"/>
                  <a:pt x="93" y="10"/>
                </a:cubicBezTo>
                <a:cubicBezTo>
                  <a:pt x="120" y="10"/>
                  <a:pt x="120" y="10"/>
                  <a:pt x="120" y="10"/>
                </a:cubicBezTo>
                <a:cubicBezTo>
                  <a:pt x="120" y="0"/>
                  <a:pt x="120" y="0"/>
                  <a:pt x="120" y="0"/>
                </a:cubicBezTo>
                <a:lnTo>
                  <a:pt x="54" y="0"/>
                </a:lnTo>
                <a:close/>
                <a:moveTo>
                  <a:pt x="0" y="19"/>
                </a:moveTo>
                <a:cubicBezTo>
                  <a:pt x="0" y="28"/>
                  <a:pt x="0" y="28"/>
                  <a:pt x="0" y="28"/>
                </a:cubicBezTo>
                <a:cubicBezTo>
                  <a:pt x="49" y="28"/>
                  <a:pt x="49" y="28"/>
                  <a:pt x="49" y="28"/>
                </a:cubicBezTo>
                <a:cubicBezTo>
                  <a:pt x="49" y="19"/>
                  <a:pt x="49" y="19"/>
                  <a:pt x="49" y="19"/>
                </a:cubicBezTo>
                <a:lnTo>
                  <a:pt x="0" y="19"/>
                </a:lnTo>
                <a:close/>
                <a:moveTo>
                  <a:pt x="74" y="51"/>
                </a:moveTo>
                <a:cubicBezTo>
                  <a:pt x="72" y="40"/>
                  <a:pt x="67" y="26"/>
                  <a:pt x="64" y="19"/>
                </a:cubicBezTo>
                <a:cubicBezTo>
                  <a:pt x="54" y="22"/>
                  <a:pt x="54" y="22"/>
                  <a:pt x="54" y="22"/>
                </a:cubicBezTo>
                <a:cubicBezTo>
                  <a:pt x="58" y="30"/>
                  <a:pt x="62" y="43"/>
                  <a:pt x="64" y="53"/>
                </a:cubicBezTo>
                <a:lnTo>
                  <a:pt x="74" y="51"/>
                </a:lnTo>
                <a:close/>
                <a:moveTo>
                  <a:pt x="4" y="37"/>
                </a:moveTo>
                <a:cubicBezTo>
                  <a:pt x="4" y="46"/>
                  <a:pt x="4" y="46"/>
                  <a:pt x="4" y="46"/>
                </a:cubicBezTo>
                <a:cubicBezTo>
                  <a:pt x="45" y="46"/>
                  <a:pt x="45" y="46"/>
                  <a:pt x="45" y="46"/>
                </a:cubicBezTo>
                <a:cubicBezTo>
                  <a:pt x="45" y="37"/>
                  <a:pt x="45" y="37"/>
                  <a:pt x="45" y="37"/>
                </a:cubicBezTo>
                <a:lnTo>
                  <a:pt x="4" y="37"/>
                </a:lnTo>
                <a:close/>
                <a:moveTo>
                  <a:pt x="110" y="53"/>
                </a:moveTo>
                <a:cubicBezTo>
                  <a:pt x="114" y="44"/>
                  <a:pt x="118" y="31"/>
                  <a:pt x="120" y="21"/>
                </a:cubicBezTo>
                <a:cubicBezTo>
                  <a:pt x="109" y="19"/>
                  <a:pt x="109" y="19"/>
                  <a:pt x="109" y="19"/>
                </a:cubicBezTo>
                <a:cubicBezTo>
                  <a:pt x="108" y="30"/>
                  <a:pt x="104" y="41"/>
                  <a:pt x="99" y="51"/>
                </a:cubicBezTo>
                <a:lnTo>
                  <a:pt x="110" y="5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586"/>
          <xdr:cNvSpPr>
            <a:spLocks noEditPoints="1"/>
          </xdr:cNvSpPr>
        </xdr:nvSpPr>
        <xdr:spPr bwMode="auto">
          <a:xfrm>
            <a:off x="5040822" y="0"/>
            <a:ext cx="273080" cy="295275"/>
          </a:xfrm>
          <a:custGeom>
            <a:avLst/>
            <a:gdLst>
              <a:gd name="T0" fmla="*/ 2147483647 w 123"/>
              <a:gd name="T1" fmla="*/ 2147483647 h 123"/>
              <a:gd name="T2" fmla="*/ 2147483647 w 123"/>
              <a:gd name="T3" fmla="*/ 2147483647 h 123"/>
              <a:gd name="T4" fmla="*/ 2147483647 w 123"/>
              <a:gd name="T5" fmla="*/ 2147483647 h 123"/>
              <a:gd name="T6" fmla="*/ 2147483647 w 123"/>
              <a:gd name="T7" fmla="*/ 2147483647 h 123"/>
              <a:gd name="T8" fmla="*/ 2147483647 w 123"/>
              <a:gd name="T9" fmla="*/ 2147483647 h 123"/>
              <a:gd name="T10" fmla="*/ 2147483647 w 123"/>
              <a:gd name="T11" fmla="*/ 2147483647 h 123"/>
              <a:gd name="T12" fmla="*/ 2147483647 w 123"/>
              <a:gd name="T13" fmla="*/ 2147483647 h 123"/>
              <a:gd name="T14" fmla="*/ 2147483647 w 123"/>
              <a:gd name="T15" fmla="*/ 2147483647 h 123"/>
              <a:gd name="T16" fmla="*/ 2147483647 w 123"/>
              <a:gd name="T17" fmla="*/ 2147483647 h 123"/>
              <a:gd name="T18" fmla="*/ 2147483647 w 123"/>
              <a:gd name="T19" fmla="*/ 2147483647 h 123"/>
              <a:gd name="T20" fmla="*/ 2147483647 w 123"/>
              <a:gd name="T21" fmla="*/ 2147483647 h 123"/>
              <a:gd name="T22" fmla="*/ 2147483647 w 123"/>
              <a:gd name="T23" fmla="*/ 2147483647 h 123"/>
              <a:gd name="T24" fmla="*/ 2147483647 w 123"/>
              <a:gd name="T25" fmla="*/ 2147483647 h 123"/>
              <a:gd name="T26" fmla="*/ 2147483647 w 123"/>
              <a:gd name="T27" fmla="*/ 2147483647 h 123"/>
              <a:gd name="T28" fmla="*/ 2147483647 w 123"/>
              <a:gd name="T29" fmla="*/ 2147483647 h 123"/>
              <a:gd name="T30" fmla="*/ 2147483647 w 123"/>
              <a:gd name="T31" fmla="*/ 2147483647 h 123"/>
              <a:gd name="T32" fmla="*/ 2147483647 w 123"/>
              <a:gd name="T33" fmla="*/ 2147483647 h 123"/>
              <a:gd name="T34" fmla="*/ 2147483647 w 123"/>
              <a:gd name="T35" fmla="*/ 2147483647 h 123"/>
              <a:gd name="T36" fmla="*/ 2147483647 w 123"/>
              <a:gd name="T37" fmla="*/ 2147483647 h 123"/>
              <a:gd name="T38" fmla="*/ 2147483647 w 123"/>
              <a:gd name="T39" fmla="*/ 2147483647 h 123"/>
              <a:gd name="T40" fmla="*/ 2147483647 w 123"/>
              <a:gd name="T41" fmla="*/ 2147483647 h 123"/>
              <a:gd name="T42" fmla="*/ 2147483647 w 123"/>
              <a:gd name="T43" fmla="*/ 2147483647 h 123"/>
              <a:gd name="T44" fmla="*/ 2147483647 w 123"/>
              <a:gd name="T45" fmla="*/ 2147483647 h 123"/>
              <a:gd name="T46" fmla="*/ 2147483647 w 123"/>
              <a:gd name="T47" fmla="*/ 2147483647 h 123"/>
              <a:gd name="T48" fmla="*/ 2147483647 w 123"/>
              <a:gd name="T49" fmla="*/ 2147483647 h 123"/>
              <a:gd name="T50" fmla="*/ 2147483647 w 123"/>
              <a:gd name="T51" fmla="*/ 2147483647 h 123"/>
              <a:gd name="T52" fmla="*/ 2147483647 w 123"/>
              <a:gd name="T53" fmla="*/ 2147483647 h 123"/>
              <a:gd name="T54" fmla="*/ 2147483647 w 123"/>
              <a:gd name="T55" fmla="*/ 2147483647 h 123"/>
              <a:gd name="T56" fmla="*/ 2147483647 w 123"/>
              <a:gd name="T57" fmla="*/ 2147483647 h 123"/>
              <a:gd name="T58" fmla="*/ 2147483647 w 123"/>
              <a:gd name="T59" fmla="*/ 2147483647 h 123"/>
              <a:gd name="T60" fmla="*/ 2147483647 w 123"/>
              <a:gd name="T61" fmla="*/ 2147483647 h 123"/>
              <a:gd name="T62" fmla="*/ 2147483647 w 123"/>
              <a:gd name="T63" fmla="*/ 2147483647 h 123"/>
              <a:gd name="T64" fmla="*/ 2147483647 w 123"/>
              <a:gd name="T65" fmla="*/ 2147483647 h 123"/>
              <a:gd name="T66" fmla="*/ 2147483647 w 123"/>
              <a:gd name="T67" fmla="*/ 2147483647 h 123"/>
              <a:gd name="T68" fmla="*/ 2147483647 w 123"/>
              <a:gd name="T69" fmla="*/ 2147483647 h 123"/>
              <a:gd name="T70" fmla="*/ 2147483647 w 123"/>
              <a:gd name="T71" fmla="*/ 2147483647 h 123"/>
              <a:gd name="T72" fmla="*/ 2147483647 w 123"/>
              <a:gd name="T73" fmla="*/ 2147483647 h 123"/>
              <a:gd name="T74" fmla="*/ 2147483647 w 123"/>
              <a:gd name="T75" fmla="*/ 2147483647 h 123"/>
              <a:gd name="T76" fmla="*/ 2147483647 w 123"/>
              <a:gd name="T77" fmla="*/ 2147483647 h 123"/>
              <a:gd name="T78" fmla="*/ 2147483647 w 123"/>
              <a:gd name="T79" fmla="*/ 0 h 123"/>
              <a:gd name="T80" fmla="*/ 0 w 123"/>
              <a:gd name="T81" fmla="*/ 2147483647 h 123"/>
              <a:gd name="T82" fmla="*/ 2147483647 w 123"/>
              <a:gd name="T83" fmla="*/ 2147483647 h 123"/>
              <a:gd name="T84" fmla="*/ 2147483647 w 123"/>
              <a:gd name="T85" fmla="*/ 2147483647 h 123"/>
              <a:gd name="T86" fmla="*/ 2147483647 w 123"/>
              <a:gd name="T87" fmla="*/ 2147483647 h 123"/>
              <a:gd name="T88" fmla="*/ 2147483647 w 123"/>
              <a:gd name="T89" fmla="*/ 2147483647 h 123"/>
              <a:gd name="T90" fmla="*/ 2147483647 w 123"/>
              <a:gd name="T91" fmla="*/ 2147483647 h 123"/>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w 123"/>
              <a:gd name="T139" fmla="*/ 0 h 123"/>
              <a:gd name="T140" fmla="*/ 123 w 123"/>
              <a:gd name="T141" fmla="*/ 123 h 123"/>
            </a:gdLst>
            <a:ahLst/>
            <a:cxnLst>
              <a:cxn ang="T92">
                <a:pos x="T0" y="T1"/>
              </a:cxn>
              <a:cxn ang="T93">
                <a:pos x="T2" y="T3"/>
              </a:cxn>
              <a:cxn ang="T94">
                <a:pos x="T4" y="T5"/>
              </a:cxn>
              <a:cxn ang="T95">
                <a:pos x="T6" y="T7"/>
              </a:cxn>
              <a:cxn ang="T96">
                <a:pos x="T8" y="T9"/>
              </a:cxn>
              <a:cxn ang="T97">
                <a:pos x="T10" y="T11"/>
              </a:cxn>
              <a:cxn ang="T98">
                <a:pos x="T12" y="T13"/>
              </a:cxn>
              <a:cxn ang="T99">
                <a:pos x="T14" y="T15"/>
              </a:cxn>
              <a:cxn ang="T100">
                <a:pos x="T16" y="T17"/>
              </a:cxn>
              <a:cxn ang="T101">
                <a:pos x="T18" y="T19"/>
              </a:cxn>
              <a:cxn ang="T102">
                <a:pos x="T20" y="T21"/>
              </a:cxn>
              <a:cxn ang="T103">
                <a:pos x="T22" y="T23"/>
              </a:cxn>
              <a:cxn ang="T104">
                <a:pos x="T24" y="T25"/>
              </a:cxn>
              <a:cxn ang="T105">
                <a:pos x="T26" y="T27"/>
              </a:cxn>
              <a:cxn ang="T106">
                <a:pos x="T28" y="T29"/>
              </a:cxn>
              <a:cxn ang="T107">
                <a:pos x="T30" y="T31"/>
              </a:cxn>
              <a:cxn ang="T108">
                <a:pos x="T32" y="T33"/>
              </a:cxn>
              <a:cxn ang="T109">
                <a:pos x="T34" y="T35"/>
              </a:cxn>
              <a:cxn ang="T110">
                <a:pos x="T36" y="T37"/>
              </a:cxn>
              <a:cxn ang="T111">
                <a:pos x="T38" y="T39"/>
              </a:cxn>
              <a:cxn ang="T112">
                <a:pos x="T40" y="T41"/>
              </a:cxn>
              <a:cxn ang="T113">
                <a:pos x="T42" y="T43"/>
              </a:cxn>
              <a:cxn ang="T114">
                <a:pos x="T44" y="T45"/>
              </a:cxn>
              <a:cxn ang="T115">
                <a:pos x="T46" y="T47"/>
              </a:cxn>
              <a:cxn ang="T116">
                <a:pos x="T48" y="T49"/>
              </a:cxn>
              <a:cxn ang="T117">
                <a:pos x="T50" y="T51"/>
              </a:cxn>
              <a:cxn ang="T118">
                <a:pos x="T52" y="T53"/>
              </a:cxn>
              <a:cxn ang="T119">
                <a:pos x="T54" y="T55"/>
              </a:cxn>
              <a:cxn ang="T120">
                <a:pos x="T56" y="T57"/>
              </a:cxn>
              <a:cxn ang="T121">
                <a:pos x="T58" y="T59"/>
              </a:cxn>
              <a:cxn ang="T122">
                <a:pos x="T60" y="T61"/>
              </a:cxn>
              <a:cxn ang="T123">
                <a:pos x="T62" y="T63"/>
              </a:cxn>
              <a:cxn ang="T124">
                <a:pos x="T64" y="T65"/>
              </a:cxn>
              <a:cxn ang="T125">
                <a:pos x="T66" y="T67"/>
              </a:cxn>
              <a:cxn ang="T126">
                <a:pos x="T68" y="T69"/>
              </a:cxn>
              <a:cxn ang="T127">
                <a:pos x="T70" y="T71"/>
              </a:cxn>
              <a:cxn ang="T128">
                <a:pos x="T72" y="T73"/>
              </a:cxn>
              <a:cxn ang="T129">
                <a:pos x="T74" y="T75"/>
              </a:cxn>
              <a:cxn ang="T130">
                <a:pos x="T76" y="T77"/>
              </a:cxn>
              <a:cxn ang="T131">
                <a:pos x="T78" y="T79"/>
              </a:cxn>
              <a:cxn ang="T132">
                <a:pos x="T80" y="T81"/>
              </a:cxn>
              <a:cxn ang="T133">
                <a:pos x="T82" y="T83"/>
              </a:cxn>
              <a:cxn ang="T134">
                <a:pos x="T84" y="T85"/>
              </a:cxn>
              <a:cxn ang="T135">
                <a:pos x="T86" y="T87"/>
              </a:cxn>
              <a:cxn ang="T136">
                <a:pos x="T88" y="T89"/>
              </a:cxn>
              <a:cxn ang="T137">
                <a:pos x="T90" y="T91"/>
              </a:cxn>
            </a:cxnLst>
            <a:rect l="T138" t="T139" r="T140" b="T141"/>
            <a:pathLst>
              <a:path w="123" h="123">
                <a:moveTo>
                  <a:pt x="85" y="107"/>
                </a:moveTo>
                <a:cubicBezTo>
                  <a:pt x="71" y="107"/>
                  <a:pt x="71" y="107"/>
                  <a:pt x="71" y="107"/>
                </a:cubicBezTo>
                <a:cubicBezTo>
                  <a:pt x="71" y="48"/>
                  <a:pt x="71" y="48"/>
                  <a:pt x="71" y="48"/>
                </a:cubicBezTo>
                <a:cubicBezTo>
                  <a:pt x="85" y="48"/>
                  <a:pt x="85" y="48"/>
                  <a:pt x="85" y="48"/>
                </a:cubicBezTo>
                <a:lnTo>
                  <a:pt x="85" y="107"/>
                </a:lnTo>
                <a:close/>
                <a:moveTo>
                  <a:pt x="123" y="5"/>
                </a:moveTo>
                <a:cubicBezTo>
                  <a:pt x="35" y="5"/>
                  <a:pt x="35" y="5"/>
                  <a:pt x="35" y="5"/>
                </a:cubicBezTo>
                <a:cubicBezTo>
                  <a:pt x="35" y="15"/>
                  <a:pt x="35" y="15"/>
                  <a:pt x="35" y="15"/>
                </a:cubicBezTo>
                <a:cubicBezTo>
                  <a:pt x="61" y="15"/>
                  <a:pt x="61" y="15"/>
                  <a:pt x="61" y="15"/>
                </a:cubicBezTo>
                <a:cubicBezTo>
                  <a:pt x="61" y="39"/>
                  <a:pt x="61" y="39"/>
                  <a:pt x="61" y="39"/>
                </a:cubicBezTo>
                <a:cubicBezTo>
                  <a:pt x="37" y="39"/>
                  <a:pt x="37" y="39"/>
                  <a:pt x="37" y="39"/>
                </a:cubicBezTo>
                <a:cubicBezTo>
                  <a:pt x="37" y="123"/>
                  <a:pt x="37" y="123"/>
                  <a:pt x="37" y="123"/>
                </a:cubicBezTo>
                <a:cubicBezTo>
                  <a:pt x="47" y="123"/>
                  <a:pt x="47" y="123"/>
                  <a:pt x="47" y="123"/>
                </a:cubicBezTo>
                <a:cubicBezTo>
                  <a:pt x="47" y="117"/>
                  <a:pt x="47" y="117"/>
                  <a:pt x="47" y="117"/>
                </a:cubicBezTo>
                <a:cubicBezTo>
                  <a:pt x="109" y="117"/>
                  <a:pt x="109" y="117"/>
                  <a:pt x="109" y="117"/>
                </a:cubicBezTo>
                <a:cubicBezTo>
                  <a:pt x="109" y="123"/>
                  <a:pt x="109" y="123"/>
                  <a:pt x="109" y="123"/>
                </a:cubicBezTo>
                <a:cubicBezTo>
                  <a:pt x="119" y="123"/>
                  <a:pt x="119" y="123"/>
                  <a:pt x="119" y="123"/>
                </a:cubicBezTo>
                <a:cubicBezTo>
                  <a:pt x="119" y="39"/>
                  <a:pt x="119" y="39"/>
                  <a:pt x="119" y="39"/>
                </a:cubicBezTo>
                <a:cubicBezTo>
                  <a:pt x="95" y="39"/>
                  <a:pt x="95" y="39"/>
                  <a:pt x="95" y="39"/>
                </a:cubicBezTo>
                <a:cubicBezTo>
                  <a:pt x="95" y="15"/>
                  <a:pt x="95" y="15"/>
                  <a:pt x="95" y="15"/>
                </a:cubicBezTo>
                <a:cubicBezTo>
                  <a:pt x="123" y="15"/>
                  <a:pt x="123" y="15"/>
                  <a:pt x="123" y="15"/>
                </a:cubicBezTo>
                <a:lnTo>
                  <a:pt x="123" y="5"/>
                </a:lnTo>
                <a:close/>
                <a:moveTo>
                  <a:pt x="85" y="39"/>
                </a:moveTo>
                <a:cubicBezTo>
                  <a:pt x="71" y="39"/>
                  <a:pt x="71" y="39"/>
                  <a:pt x="71" y="39"/>
                </a:cubicBezTo>
                <a:cubicBezTo>
                  <a:pt x="71" y="15"/>
                  <a:pt x="71" y="15"/>
                  <a:pt x="71" y="15"/>
                </a:cubicBezTo>
                <a:cubicBezTo>
                  <a:pt x="85" y="15"/>
                  <a:pt x="85" y="15"/>
                  <a:pt x="85" y="15"/>
                </a:cubicBezTo>
                <a:lnTo>
                  <a:pt x="85" y="39"/>
                </a:lnTo>
                <a:close/>
                <a:moveTo>
                  <a:pt x="61" y="107"/>
                </a:moveTo>
                <a:cubicBezTo>
                  <a:pt x="47" y="107"/>
                  <a:pt x="47" y="107"/>
                  <a:pt x="47" y="107"/>
                </a:cubicBezTo>
                <a:cubicBezTo>
                  <a:pt x="47" y="48"/>
                  <a:pt x="47" y="48"/>
                  <a:pt x="47" y="48"/>
                </a:cubicBezTo>
                <a:cubicBezTo>
                  <a:pt x="61" y="48"/>
                  <a:pt x="61" y="48"/>
                  <a:pt x="61" y="48"/>
                </a:cubicBezTo>
                <a:lnTo>
                  <a:pt x="61" y="107"/>
                </a:lnTo>
                <a:close/>
                <a:moveTo>
                  <a:pt x="109" y="107"/>
                </a:moveTo>
                <a:cubicBezTo>
                  <a:pt x="95" y="107"/>
                  <a:pt x="95" y="107"/>
                  <a:pt x="95" y="107"/>
                </a:cubicBezTo>
                <a:cubicBezTo>
                  <a:pt x="95" y="48"/>
                  <a:pt x="95" y="48"/>
                  <a:pt x="95" y="48"/>
                </a:cubicBezTo>
                <a:cubicBezTo>
                  <a:pt x="109" y="48"/>
                  <a:pt x="109" y="48"/>
                  <a:pt x="109" y="48"/>
                </a:cubicBezTo>
                <a:lnTo>
                  <a:pt x="109" y="107"/>
                </a:lnTo>
                <a:close/>
                <a:moveTo>
                  <a:pt x="24" y="33"/>
                </a:moveTo>
                <a:cubicBezTo>
                  <a:pt x="29" y="20"/>
                  <a:pt x="31" y="9"/>
                  <a:pt x="32" y="1"/>
                </a:cubicBezTo>
                <a:cubicBezTo>
                  <a:pt x="21" y="0"/>
                  <a:pt x="21" y="0"/>
                  <a:pt x="21" y="0"/>
                </a:cubicBezTo>
                <a:cubicBezTo>
                  <a:pt x="16" y="33"/>
                  <a:pt x="6" y="48"/>
                  <a:pt x="0" y="56"/>
                </a:cubicBezTo>
                <a:cubicBezTo>
                  <a:pt x="5" y="68"/>
                  <a:pt x="5" y="68"/>
                  <a:pt x="5" y="68"/>
                </a:cubicBezTo>
                <a:cubicBezTo>
                  <a:pt x="7" y="65"/>
                  <a:pt x="10" y="62"/>
                  <a:pt x="14" y="56"/>
                </a:cubicBezTo>
                <a:cubicBezTo>
                  <a:pt x="14" y="123"/>
                  <a:pt x="14" y="123"/>
                  <a:pt x="14" y="123"/>
                </a:cubicBezTo>
                <a:cubicBezTo>
                  <a:pt x="24" y="123"/>
                  <a:pt x="24" y="123"/>
                  <a:pt x="24" y="123"/>
                </a:cubicBezTo>
                <a:lnTo>
                  <a:pt x="24" y="3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587"/>
          <xdr:cNvSpPr>
            <a:spLocks noEditPoints="1"/>
          </xdr:cNvSpPr>
        </xdr:nvSpPr>
        <xdr:spPr bwMode="auto">
          <a:xfrm>
            <a:off x="5362667" y="0"/>
            <a:ext cx="282833" cy="295275"/>
          </a:xfrm>
          <a:custGeom>
            <a:avLst/>
            <a:gdLst>
              <a:gd name="T0" fmla="*/ 2147483647 w 124"/>
              <a:gd name="T1" fmla="*/ 2147483647 h 122"/>
              <a:gd name="T2" fmla="*/ 2147483647 w 124"/>
              <a:gd name="T3" fmla="*/ 2147483647 h 122"/>
              <a:gd name="T4" fmla="*/ 2147483647 w 124"/>
              <a:gd name="T5" fmla="*/ 2147483647 h 122"/>
              <a:gd name="T6" fmla="*/ 2147483647 w 124"/>
              <a:gd name="T7" fmla="*/ 2147483647 h 122"/>
              <a:gd name="T8" fmla="*/ 2147483647 w 124"/>
              <a:gd name="T9" fmla="*/ 0 h 122"/>
              <a:gd name="T10" fmla="*/ 2147483647 w 124"/>
              <a:gd name="T11" fmla="*/ 2147483647 h 122"/>
              <a:gd name="T12" fmla="*/ 2147483647 w 124"/>
              <a:gd name="T13" fmla="*/ 2147483647 h 122"/>
              <a:gd name="T14" fmla="*/ 2147483647 w 124"/>
              <a:gd name="T15" fmla="*/ 2147483647 h 122"/>
              <a:gd name="T16" fmla="*/ 2147483647 w 124"/>
              <a:gd name="T17" fmla="*/ 2147483647 h 122"/>
              <a:gd name="T18" fmla="*/ 2147483647 w 124"/>
              <a:gd name="T19" fmla="*/ 2147483647 h 122"/>
              <a:gd name="T20" fmla="*/ 2147483647 w 124"/>
              <a:gd name="T21" fmla="*/ 2147483647 h 122"/>
              <a:gd name="T22" fmla="*/ 2147483647 w 124"/>
              <a:gd name="T23" fmla="*/ 2147483647 h 122"/>
              <a:gd name="T24" fmla="*/ 2147483647 w 124"/>
              <a:gd name="T25" fmla="*/ 2147483647 h 122"/>
              <a:gd name="T26" fmla="*/ 2147483647 w 124"/>
              <a:gd name="T27" fmla="*/ 2147483647 h 122"/>
              <a:gd name="T28" fmla="*/ 2147483647 w 124"/>
              <a:gd name="T29" fmla="*/ 2147483647 h 122"/>
              <a:gd name="T30" fmla="*/ 2147483647 w 124"/>
              <a:gd name="T31" fmla="*/ 2147483647 h 122"/>
              <a:gd name="T32" fmla="*/ 2147483647 w 124"/>
              <a:gd name="T33" fmla="*/ 2147483647 h 122"/>
              <a:gd name="T34" fmla="*/ 2147483647 w 124"/>
              <a:gd name="T35" fmla="*/ 2147483647 h 122"/>
              <a:gd name="T36" fmla="*/ 2147483647 w 124"/>
              <a:gd name="T37" fmla="*/ 2147483647 h 122"/>
              <a:gd name="T38" fmla="*/ 2147483647 w 124"/>
              <a:gd name="T39" fmla="*/ 2147483647 h 122"/>
              <a:gd name="T40" fmla="*/ 2147483647 w 124"/>
              <a:gd name="T41" fmla="*/ 2147483647 h 122"/>
              <a:gd name="T42" fmla="*/ 2147483647 w 124"/>
              <a:gd name="T43" fmla="*/ 2147483647 h 122"/>
              <a:gd name="T44" fmla="*/ 2147483647 w 124"/>
              <a:gd name="T45" fmla="*/ 2147483647 h 122"/>
              <a:gd name="T46" fmla="*/ 2147483647 w 124"/>
              <a:gd name="T47" fmla="*/ 0 h 122"/>
              <a:gd name="T48" fmla="*/ 2147483647 w 124"/>
              <a:gd name="T49" fmla="*/ 2147483647 h 122"/>
              <a:gd name="T50" fmla="*/ 2147483647 w 124"/>
              <a:gd name="T51" fmla="*/ 2147483647 h 122"/>
              <a:gd name="T52" fmla="*/ 2147483647 w 124"/>
              <a:gd name="T53" fmla="*/ 2147483647 h 122"/>
              <a:gd name="T54" fmla="*/ 2147483647 w 124"/>
              <a:gd name="T55" fmla="*/ 2147483647 h 122"/>
              <a:gd name="T56" fmla="*/ 2147483647 w 124"/>
              <a:gd name="T57" fmla="*/ 2147483647 h 122"/>
              <a:gd name="T58" fmla="*/ 2147483647 w 124"/>
              <a:gd name="T59" fmla="*/ 2147483647 h 122"/>
              <a:gd name="T60" fmla="*/ 0 w 124"/>
              <a:gd name="T61" fmla="*/ 2147483647 h 122"/>
              <a:gd name="T62" fmla="*/ 2147483647 w 124"/>
              <a:gd name="T63" fmla="*/ 2147483647 h 122"/>
              <a:gd name="T64" fmla="*/ 2147483647 w 124"/>
              <a:gd name="T65" fmla="*/ 2147483647 h 122"/>
              <a:gd name="T66" fmla="*/ 2147483647 w 124"/>
              <a:gd name="T67" fmla="*/ 2147483647 h 122"/>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w 124"/>
              <a:gd name="T103" fmla="*/ 0 h 122"/>
              <a:gd name="T104" fmla="*/ 124 w 124"/>
              <a:gd name="T105" fmla="*/ 122 h 122"/>
            </a:gdLst>
            <a:ahLst/>
            <a:cxnLst>
              <a:cxn ang="T68">
                <a:pos x="T0" y="T1"/>
              </a:cxn>
              <a:cxn ang="T69">
                <a:pos x="T2" y="T3"/>
              </a:cxn>
              <a:cxn ang="T70">
                <a:pos x="T4" y="T5"/>
              </a:cxn>
              <a:cxn ang="T71">
                <a:pos x="T6" y="T7"/>
              </a:cxn>
              <a:cxn ang="T72">
                <a:pos x="T8" y="T9"/>
              </a:cxn>
              <a:cxn ang="T73">
                <a:pos x="T10" y="T11"/>
              </a:cxn>
              <a:cxn ang="T74">
                <a:pos x="T12" y="T13"/>
              </a:cxn>
              <a:cxn ang="T75">
                <a:pos x="T14" y="T15"/>
              </a:cxn>
              <a:cxn ang="T76">
                <a:pos x="T16" y="T17"/>
              </a:cxn>
              <a:cxn ang="T77">
                <a:pos x="T18" y="T19"/>
              </a:cxn>
              <a:cxn ang="T78">
                <a:pos x="T20" y="T21"/>
              </a:cxn>
              <a:cxn ang="T79">
                <a:pos x="T22" y="T23"/>
              </a:cxn>
              <a:cxn ang="T80">
                <a:pos x="T24" y="T25"/>
              </a:cxn>
              <a:cxn ang="T81">
                <a:pos x="T26" y="T27"/>
              </a:cxn>
              <a:cxn ang="T82">
                <a:pos x="T28" y="T29"/>
              </a:cxn>
              <a:cxn ang="T83">
                <a:pos x="T30" y="T31"/>
              </a:cxn>
              <a:cxn ang="T84">
                <a:pos x="T32" y="T33"/>
              </a:cxn>
              <a:cxn ang="T85">
                <a:pos x="T34" y="T35"/>
              </a:cxn>
              <a:cxn ang="T86">
                <a:pos x="T36" y="T37"/>
              </a:cxn>
              <a:cxn ang="T87">
                <a:pos x="T38" y="T39"/>
              </a:cxn>
              <a:cxn ang="T88">
                <a:pos x="T40" y="T41"/>
              </a:cxn>
              <a:cxn ang="T89">
                <a:pos x="T42" y="T43"/>
              </a:cxn>
              <a:cxn ang="T90">
                <a:pos x="T44" y="T45"/>
              </a:cxn>
              <a:cxn ang="T91">
                <a:pos x="T46" y="T47"/>
              </a:cxn>
              <a:cxn ang="T92">
                <a:pos x="T48" y="T49"/>
              </a:cxn>
              <a:cxn ang="T93">
                <a:pos x="T50" y="T51"/>
              </a:cxn>
              <a:cxn ang="T94">
                <a:pos x="T52" y="T53"/>
              </a:cxn>
              <a:cxn ang="T95">
                <a:pos x="T54" y="T55"/>
              </a:cxn>
              <a:cxn ang="T96">
                <a:pos x="T56" y="T57"/>
              </a:cxn>
              <a:cxn ang="T97">
                <a:pos x="T58" y="T59"/>
              </a:cxn>
              <a:cxn ang="T98">
                <a:pos x="T60" y="T61"/>
              </a:cxn>
              <a:cxn ang="T99">
                <a:pos x="T62" y="T63"/>
              </a:cxn>
              <a:cxn ang="T100">
                <a:pos x="T64" y="T65"/>
              </a:cxn>
              <a:cxn ang="T101">
                <a:pos x="T66" y="T67"/>
              </a:cxn>
            </a:cxnLst>
            <a:rect l="T102" t="T103" r="T104" b="T105"/>
            <a:pathLst>
              <a:path w="124" h="122">
                <a:moveTo>
                  <a:pt x="109" y="106"/>
                </a:moveTo>
                <a:cubicBezTo>
                  <a:pt x="68" y="106"/>
                  <a:pt x="68" y="106"/>
                  <a:pt x="68" y="106"/>
                </a:cubicBezTo>
                <a:cubicBezTo>
                  <a:pt x="68" y="78"/>
                  <a:pt x="68" y="78"/>
                  <a:pt x="68" y="78"/>
                </a:cubicBezTo>
                <a:cubicBezTo>
                  <a:pt x="109" y="78"/>
                  <a:pt x="109" y="78"/>
                  <a:pt x="109" y="78"/>
                </a:cubicBezTo>
                <a:lnTo>
                  <a:pt x="109" y="106"/>
                </a:lnTo>
                <a:close/>
                <a:moveTo>
                  <a:pt x="39" y="13"/>
                </a:moveTo>
                <a:cubicBezTo>
                  <a:pt x="35" y="21"/>
                  <a:pt x="30" y="30"/>
                  <a:pt x="25" y="38"/>
                </a:cubicBezTo>
                <a:cubicBezTo>
                  <a:pt x="23" y="36"/>
                  <a:pt x="21" y="34"/>
                  <a:pt x="17" y="30"/>
                </a:cubicBezTo>
                <a:cubicBezTo>
                  <a:pt x="20" y="24"/>
                  <a:pt x="28" y="11"/>
                  <a:pt x="32" y="3"/>
                </a:cubicBezTo>
                <a:cubicBezTo>
                  <a:pt x="22" y="0"/>
                  <a:pt x="22" y="0"/>
                  <a:pt x="22" y="0"/>
                </a:cubicBezTo>
                <a:cubicBezTo>
                  <a:pt x="19" y="8"/>
                  <a:pt x="12" y="19"/>
                  <a:pt x="9" y="23"/>
                </a:cubicBezTo>
                <a:cubicBezTo>
                  <a:pt x="8" y="22"/>
                  <a:pt x="8" y="22"/>
                  <a:pt x="5" y="20"/>
                </a:cubicBezTo>
                <a:cubicBezTo>
                  <a:pt x="1" y="29"/>
                  <a:pt x="1" y="29"/>
                  <a:pt x="1" y="29"/>
                </a:cubicBezTo>
                <a:cubicBezTo>
                  <a:pt x="8" y="35"/>
                  <a:pt x="14" y="41"/>
                  <a:pt x="19" y="46"/>
                </a:cubicBezTo>
                <a:cubicBezTo>
                  <a:pt x="14" y="52"/>
                  <a:pt x="12" y="55"/>
                  <a:pt x="11" y="56"/>
                </a:cubicBezTo>
                <a:cubicBezTo>
                  <a:pt x="7" y="56"/>
                  <a:pt x="5" y="56"/>
                  <a:pt x="1" y="56"/>
                </a:cubicBezTo>
                <a:cubicBezTo>
                  <a:pt x="1" y="66"/>
                  <a:pt x="1" y="66"/>
                  <a:pt x="1" y="66"/>
                </a:cubicBezTo>
                <a:cubicBezTo>
                  <a:pt x="5" y="66"/>
                  <a:pt x="7" y="66"/>
                  <a:pt x="8" y="65"/>
                </a:cubicBezTo>
                <a:cubicBezTo>
                  <a:pt x="9" y="65"/>
                  <a:pt x="21" y="65"/>
                  <a:pt x="22" y="65"/>
                </a:cubicBezTo>
                <a:cubicBezTo>
                  <a:pt x="22" y="122"/>
                  <a:pt x="22" y="122"/>
                  <a:pt x="22" y="122"/>
                </a:cubicBezTo>
                <a:cubicBezTo>
                  <a:pt x="32" y="122"/>
                  <a:pt x="32" y="122"/>
                  <a:pt x="32" y="122"/>
                </a:cubicBezTo>
                <a:cubicBezTo>
                  <a:pt x="32" y="64"/>
                  <a:pt x="32" y="64"/>
                  <a:pt x="32" y="64"/>
                </a:cubicBezTo>
                <a:cubicBezTo>
                  <a:pt x="36" y="64"/>
                  <a:pt x="42" y="63"/>
                  <a:pt x="43" y="63"/>
                </a:cubicBezTo>
                <a:cubicBezTo>
                  <a:pt x="44" y="65"/>
                  <a:pt x="45" y="67"/>
                  <a:pt x="46" y="70"/>
                </a:cubicBezTo>
                <a:cubicBezTo>
                  <a:pt x="55" y="66"/>
                  <a:pt x="55" y="66"/>
                  <a:pt x="55" y="66"/>
                </a:cubicBezTo>
                <a:cubicBezTo>
                  <a:pt x="52" y="58"/>
                  <a:pt x="49" y="50"/>
                  <a:pt x="45" y="43"/>
                </a:cubicBezTo>
                <a:cubicBezTo>
                  <a:pt x="36" y="46"/>
                  <a:pt x="36" y="46"/>
                  <a:pt x="36" y="46"/>
                </a:cubicBezTo>
                <a:cubicBezTo>
                  <a:pt x="38" y="48"/>
                  <a:pt x="38" y="49"/>
                  <a:pt x="40" y="55"/>
                </a:cubicBezTo>
                <a:cubicBezTo>
                  <a:pt x="38" y="55"/>
                  <a:pt x="26" y="56"/>
                  <a:pt x="23" y="56"/>
                </a:cubicBezTo>
                <a:cubicBezTo>
                  <a:pt x="23" y="56"/>
                  <a:pt x="23" y="56"/>
                  <a:pt x="23" y="56"/>
                </a:cubicBezTo>
                <a:cubicBezTo>
                  <a:pt x="30" y="47"/>
                  <a:pt x="41" y="30"/>
                  <a:pt x="49" y="17"/>
                </a:cubicBezTo>
                <a:lnTo>
                  <a:pt x="39" y="13"/>
                </a:lnTo>
                <a:close/>
                <a:moveTo>
                  <a:pt x="83" y="0"/>
                </a:moveTo>
                <a:cubicBezTo>
                  <a:pt x="83" y="14"/>
                  <a:pt x="83" y="14"/>
                  <a:pt x="83" y="14"/>
                </a:cubicBezTo>
                <a:cubicBezTo>
                  <a:pt x="53" y="14"/>
                  <a:pt x="53" y="14"/>
                  <a:pt x="53" y="14"/>
                </a:cubicBezTo>
                <a:cubicBezTo>
                  <a:pt x="53" y="24"/>
                  <a:pt x="53" y="24"/>
                  <a:pt x="53" y="24"/>
                </a:cubicBezTo>
                <a:cubicBezTo>
                  <a:pt x="83" y="24"/>
                  <a:pt x="83" y="24"/>
                  <a:pt x="83" y="24"/>
                </a:cubicBezTo>
                <a:cubicBezTo>
                  <a:pt x="83" y="45"/>
                  <a:pt x="83" y="45"/>
                  <a:pt x="83" y="45"/>
                </a:cubicBezTo>
                <a:cubicBezTo>
                  <a:pt x="57" y="45"/>
                  <a:pt x="57" y="45"/>
                  <a:pt x="57" y="45"/>
                </a:cubicBezTo>
                <a:cubicBezTo>
                  <a:pt x="57" y="55"/>
                  <a:pt x="57" y="55"/>
                  <a:pt x="57" y="55"/>
                </a:cubicBezTo>
                <a:cubicBezTo>
                  <a:pt x="121" y="55"/>
                  <a:pt x="121" y="55"/>
                  <a:pt x="121" y="55"/>
                </a:cubicBezTo>
                <a:cubicBezTo>
                  <a:pt x="121" y="45"/>
                  <a:pt x="121" y="45"/>
                  <a:pt x="121" y="45"/>
                </a:cubicBezTo>
                <a:cubicBezTo>
                  <a:pt x="94" y="45"/>
                  <a:pt x="94" y="45"/>
                  <a:pt x="94" y="45"/>
                </a:cubicBezTo>
                <a:cubicBezTo>
                  <a:pt x="94" y="24"/>
                  <a:pt x="94" y="24"/>
                  <a:pt x="94" y="24"/>
                </a:cubicBezTo>
                <a:cubicBezTo>
                  <a:pt x="124" y="24"/>
                  <a:pt x="124" y="24"/>
                  <a:pt x="124" y="24"/>
                </a:cubicBezTo>
                <a:cubicBezTo>
                  <a:pt x="124" y="14"/>
                  <a:pt x="124" y="14"/>
                  <a:pt x="124" y="14"/>
                </a:cubicBezTo>
                <a:cubicBezTo>
                  <a:pt x="94" y="14"/>
                  <a:pt x="94" y="14"/>
                  <a:pt x="94" y="14"/>
                </a:cubicBezTo>
                <a:cubicBezTo>
                  <a:pt x="94" y="0"/>
                  <a:pt x="94" y="0"/>
                  <a:pt x="94" y="0"/>
                </a:cubicBezTo>
                <a:lnTo>
                  <a:pt x="83" y="0"/>
                </a:lnTo>
                <a:close/>
                <a:moveTo>
                  <a:pt x="120" y="68"/>
                </a:moveTo>
                <a:cubicBezTo>
                  <a:pt x="58" y="68"/>
                  <a:pt x="58" y="68"/>
                  <a:pt x="58" y="68"/>
                </a:cubicBezTo>
                <a:cubicBezTo>
                  <a:pt x="58" y="122"/>
                  <a:pt x="58" y="122"/>
                  <a:pt x="58" y="122"/>
                </a:cubicBezTo>
                <a:cubicBezTo>
                  <a:pt x="68" y="122"/>
                  <a:pt x="68" y="122"/>
                  <a:pt x="68" y="122"/>
                </a:cubicBezTo>
                <a:cubicBezTo>
                  <a:pt x="68" y="116"/>
                  <a:pt x="68" y="116"/>
                  <a:pt x="68" y="116"/>
                </a:cubicBezTo>
                <a:cubicBezTo>
                  <a:pt x="109" y="116"/>
                  <a:pt x="109" y="116"/>
                  <a:pt x="109" y="116"/>
                </a:cubicBezTo>
                <a:cubicBezTo>
                  <a:pt x="109" y="122"/>
                  <a:pt x="109" y="122"/>
                  <a:pt x="109" y="122"/>
                </a:cubicBezTo>
                <a:cubicBezTo>
                  <a:pt x="120" y="122"/>
                  <a:pt x="120" y="122"/>
                  <a:pt x="120" y="122"/>
                </a:cubicBezTo>
                <a:lnTo>
                  <a:pt x="120" y="68"/>
                </a:lnTo>
                <a:close/>
                <a:moveTo>
                  <a:pt x="9" y="112"/>
                </a:moveTo>
                <a:cubicBezTo>
                  <a:pt x="14" y="100"/>
                  <a:pt x="15" y="86"/>
                  <a:pt x="16" y="76"/>
                </a:cubicBezTo>
                <a:cubicBezTo>
                  <a:pt x="6" y="75"/>
                  <a:pt x="6" y="75"/>
                  <a:pt x="6" y="75"/>
                </a:cubicBezTo>
                <a:cubicBezTo>
                  <a:pt x="6" y="86"/>
                  <a:pt x="4" y="98"/>
                  <a:pt x="0" y="109"/>
                </a:cubicBezTo>
                <a:lnTo>
                  <a:pt x="9" y="112"/>
                </a:lnTo>
                <a:close/>
                <a:moveTo>
                  <a:pt x="53" y="103"/>
                </a:moveTo>
                <a:cubicBezTo>
                  <a:pt x="52" y="94"/>
                  <a:pt x="50" y="84"/>
                  <a:pt x="46" y="74"/>
                </a:cubicBezTo>
                <a:cubicBezTo>
                  <a:pt x="38" y="76"/>
                  <a:pt x="38" y="76"/>
                  <a:pt x="38" y="76"/>
                </a:cubicBezTo>
                <a:cubicBezTo>
                  <a:pt x="41" y="85"/>
                  <a:pt x="43" y="98"/>
                  <a:pt x="43" y="106"/>
                </a:cubicBezTo>
                <a:lnTo>
                  <a:pt x="53" y="103"/>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588"/>
          <xdr:cNvSpPr>
            <a:spLocks noEditPoints="1"/>
          </xdr:cNvSpPr>
        </xdr:nvSpPr>
        <xdr:spPr bwMode="auto">
          <a:xfrm>
            <a:off x="5684511" y="9525"/>
            <a:ext cx="282833" cy="285750"/>
          </a:xfrm>
          <a:custGeom>
            <a:avLst/>
            <a:gdLst>
              <a:gd name="T0" fmla="*/ 2147483647 w 125"/>
              <a:gd name="T1" fmla="*/ 2147483647 h 117"/>
              <a:gd name="T2" fmla="*/ 2147483647 w 125"/>
              <a:gd name="T3" fmla="*/ 2147483647 h 117"/>
              <a:gd name="T4" fmla="*/ 2147483647 w 125"/>
              <a:gd name="T5" fmla="*/ 2147483647 h 117"/>
              <a:gd name="T6" fmla="*/ 2147483647 w 125"/>
              <a:gd name="T7" fmla="*/ 2147483647 h 117"/>
              <a:gd name="T8" fmla="*/ 2147483647 w 125"/>
              <a:gd name="T9" fmla="*/ 2147483647 h 117"/>
              <a:gd name="T10" fmla="*/ 2147483647 w 125"/>
              <a:gd name="T11" fmla="*/ 2147483647 h 117"/>
              <a:gd name="T12" fmla="*/ 2147483647 w 125"/>
              <a:gd name="T13" fmla="*/ 2147483647 h 117"/>
              <a:gd name="T14" fmla="*/ 2147483647 w 125"/>
              <a:gd name="T15" fmla="*/ 2147483647 h 117"/>
              <a:gd name="T16" fmla="*/ 2147483647 w 125"/>
              <a:gd name="T17" fmla="*/ 2147483647 h 117"/>
              <a:gd name="T18" fmla="*/ 2147483647 w 125"/>
              <a:gd name="T19" fmla="*/ 2147483647 h 117"/>
              <a:gd name="T20" fmla="*/ 2147483647 w 125"/>
              <a:gd name="T21" fmla="*/ 2147483647 h 117"/>
              <a:gd name="T22" fmla="*/ 2147483647 w 125"/>
              <a:gd name="T23" fmla="*/ 2147483647 h 117"/>
              <a:gd name="T24" fmla="*/ 2147483647 w 125"/>
              <a:gd name="T25" fmla="*/ 0 h 117"/>
              <a:gd name="T26" fmla="*/ 2147483647 w 125"/>
              <a:gd name="T27" fmla="*/ 0 h 117"/>
              <a:gd name="T28" fmla="*/ 2147483647 w 125"/>
              <a:gd name="T29" fmla="*/ 2147483647 h 117"/>
              <a:gd name="T30" fmla="*/ 2147483647 w 125"/>
              <a:gd name="T31" fmla="*/ 2147483647 h 117"/>
              <a:gd name="T32" fmla="*/ 2147483647 w 125"/>
              <a:gd name="T33" fmla="*/ 2147483647 h 117"/>
              <a:gd name="T34" fmla="*/ 2147483647 w 125"/>
              <a:gd name="T35" fmla="*/ 2147483647 h 117"/>
              <a:gd name="T36" fmla="*/ 2147483647 w 125"/>
              <a:gd name="T37" fmla="*/ 2147483647 h 117"/>
              <a:gd name="T38" fmla="*/ 2147483647 w 125"/>
              <a:gd name="T39" fmla="*/ 2147483647 h 117"/>
              <a:gd name="T40" fmla="*/ 0 w 125"/>
              <a:gd name="T41" fmla="*/ 2147483647 h 117"/>
              <a:gd name="T42" fmla="*/ 2147483647 w 125"/>
              <a:gd name="T43" fmla="*/ 2147483647 h 117"/>
              <a:gd name="T44" fmla="*/ 2147483647 w 125"/>
              <a:gd name="T45" fmla="*/ 2147483647 h 117"/>
              <a:gd name="T46" fmla="*/ 2147483647 w 125"/>
              <a:gd name="T47" fmla="*/ 2147483647 h 117"/>
              <a:gd name="T48" fmla="*/ 2147483647 w 125"/>
              <a:gd name="T49" fmla="*/ 2147483647 h 117"/>
              <a:gd name="T50" fmla="*/ 2147483647 w 125"/>
              <a:gd name="T51" fmla="*/ 2147483647 h 117"/>
              <a:gd name="T52" fmla="*/ 2147483647 w 125"/>
              <a:gd name="T53" fmla="*/ 2147483647 h 117"/>
              <a:gd name="T54" fmla="*/ 2147483647 w 125"/>
              <a:gd name="T55" fmla="*/ 2147483647 h 117"/>
              <a:gd name="T56" fmla="*/ 2147483647 w 125"/>
              <a:gd name="T57" fmla="*/ 2147483647 h 117"/>
              <a:gd name="T58" fmla="*/ 2147483647 w 125"/>
              <a:gd name="T59" fmla="*/ 2147483647 h 117"/>
              <a:gd name="T60" fmla="*/ 2147483647 w 125"/>
              <a:gd name="T61" fmla="*/ 2147483647 h 117"/>
              <a:gd name="T62" fmla="*/ 2147483647 w 125"/>
              <a:gd name="T63" fmla="*/ 2147483647 h 117"/>
              <a:gd name="T64" fmla="*/ 2147483647 w 125"/>
              <a:gd name="T65" fmla="*/ 2147483647 h 117"/>
              <a:gd name="T66" fmla="*/ 2147483647 w 125"/>
              <a:gd name="T67" fmla="*/ 2147483647 h 117"/>
              <a:gd name="T68" fmla="*/ 2147483647 w 125"/>
              <a:gd name="T69" fmla="*/ 2147483647 h 117"/>
              <a:gd name="T70" fmla="*/ 2147483647 w 125"/>
              <a:gd name="T71" fmla="*/ 2147483647 h 117"/>
              <a:gd name="T72" fmla="*/ 2147483647 w 125"/>
              <a:gd name="T73" fmla="*/ 2147483647 h 117"/>
              <a:gd name="T74" fmla="*/ 2147483647 w 125"/>
              <a:gd name="T75" fmla="*/ 2147483647 h 117"/>
              <a:gd name="T76" fmla="*/ 2147483647 w 125"/>
              <a:gd name="T77" fmla="*/ 2147483647 h 117"/>
              <a:gd name="T78" fmla="*/ 2147483647 w 125"/>
              <a:gd name="T79" fmla="*/ 2147483647 h 117"/>
              <a:gd name="T80" fmla="*/ 2147483647 w 125"/>
              <a:gd name="T81" fmla="*/ 2147483647 h 117"/>
              <a:gd name="T82" fmla="*/ 2147483647 w 125"/>
              <a:gd name="T83" fmla="*/ 2147483647 h 117"/>
              <a:gd name="T84" fmla="*/ 2147483647 w 125"/>
              <a:gd name="T85" fmla="*/ 2147483647 h 117"/>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w 125"/>
              <a:gd name="T130" fmla="*/ 0 h 117"/>
              <a:gd name="T131" fmla="*/ 125 w 125"/>
              <a:gd name="T132" fmla="*/ 117 h 117"/>
            </a:gdLst>
            <a:ahLst/>
            <a:cxnLst>
              <a:cxn ang="T86">
                <a:pos x="T0" y="T1"/>
              </a:cxn>
              <a:cxn ang="T87">
                <a:pos x="T2" y="T3"/>
              </a:cxn>
              <a:cxn ang="T88">
                <a:pos x="T4" y="T5"/>
              </a:cxn>
              <a:cxn ang="T89">
                <a:pos x="T6" y="T7"/>
              </a:cxn>
              <a:cxn ang="T90">
                <a:pos x="T8" y="T9"/>
              </a:cxn>
              <a:cxn ang="T91">
                <a:pos x="T10" y="T11"/>
              </a:cxn>
              <a:cxn ang="T92">
                <a:pos x="T12" y="T13"/>
              </a:cxn>
              <a:cxn ang="T93">
                <a:pos x="T14" y="T15"/>
              </a:cxn>
              <a:cxn ang="T94">
                <a:pos x="T16" y="T17"/>
              </a:cxn>
              <a:cxn ang="T95">
                <a:pos x="T18" y="T19"/>
              </a:cxn>
              <a:cxn ang="T96">
                <a:pos x="T20" y="T21"/>
              </a:cxn>
              <a:cxn ang="T97">
                <a:pos x="T22" y="T23"/>
              </a:cxn>
              <a:cxn ang="T98">
                <a:pos x="T24" y="T25"/>
              </a:cxn>
              <a:cxn ang="T99">
                <a:pos x="T26" y="T27"/>
              </a:cxn>
              <a:cxn ang="T100">
                <a:pos x="T28" y="T29"/>
              </a:cxn>
              <a:cxn ang="T101">
                <a:pos x="T30" y="T31"/>
              </a:cxn>
              <a:cxn ang="T102">
                <a:pos x="T32" y="T33"/>
              </a:cxn>
              <a:cxn ang="T103">
                <a:pos x="T34" y="T35"/>
              </a:cxn>
              <a:cxn ang="T104">
                <a:pos x="T36" y="T37"/>
              </a:cxn>
              <a:cxn ang="T105">
                <a:pos x="T38" y="T39"/>
              </a:cxn>
              <a:cxn ang="T106">
                <a:pos x="T40" y="T41"/>
              </a:cxn>
              <a:cxn ang="T107">
                <a:pos x="T42" y="T43"/>
              </a:cxn>
              <a:cxn ang="T108">
                <a:pos x="T44" y="T45"/>
              </a:cxn>
              <a:cxn ang="T109">
                <a:pos x="T46" y="T47"/>
              </a:cxn>
              <a:cxn ang="T110">
                <a:pos x="T48" y="T49"/>
              </a:cxn>
              <a:cxn ang="T111">
                <a:pos x="T50" y="T51"/>
              </a:cxn>
              <a:cxn ang="T112">
                <a:pos x="T52" y="T53"/>
              </a:cxn>
              <a:cxn ang="T113">
                <a:pos x="T54" y="T55"/>
              </a:cxn>
              <a:cxn ang="T114">
                <a:pos x="T56" y="T57"/>
              </a:cxn>
              <a:cxn ang="T115">
                <a:pos x="T58" y="T59"/>
              </a:cxn>
              <a:cxn ang="T116">
                <a:pos x="T60" y="T61"/>
              </a:cxn>
              <a:cxn ang="T117">
                <a:pos x="T62" y="T63"/>
              </a:cxn>
              <a:cxn ang="T118">
                <a:pos x="T64" y="T65"/>
              </a:cxn>
              <a:cxn ang="T119">
                <a:pos x="T66" y="T67"/>
              </a:cxn>
              <a:cxn ang="T120">
                <a:pos x="T68" y="T69"/>
              </a:cxn>
              <a:cxn ang="T121">
                <a:pos x="T70" y="T71"/>
              </a:cxn>
              <a:cxn ang="T122">
                <a:pos x="T72" y="T73"/>
              </a:cxn>
              <a:cxn ang="T123">
                <a:pos x="T74" y="T75"/>
              </a:cxn>
              <a:cxn ang="T124">
                <a:pos x="T76" y="T77"/>
              </a:cxn>
              <a:cxn ang="T125">
                <a:pos x="T78" y="T79"/>
              </a:cxn>
              <a:cxn ang="T126">
                <a:pos x="T80" y="T81"/>
              </a:cxn>
              <a:cxn ang="T127">
                <a:pos x="T82" y="T83"/>
              </a:cxn>
              <a:cxn ang="T128">
                <a:pos x="T84" y="T85"/>
              </a:cxn>
            </a:cxnLst>
            <a:rect l="T129" t="T130" r="T131" b="T132"/>
            <a:pathLst>
              <a:path w="125" h="117">
                <a:moveTo>
                  <a:pt x="57" y="21"/>
                </a:moveTo>
                <a:cubicBezTo>
                  <a:pt x="23" y="21"/>
                  <a:pt x="23" y="21"/>
                  <a:pt x="23" y="21"/>
                </a:cubicBezTo>
                <a:cubicBezTo>
                  <a:pt x="23" y="9"/>
                  <a:pt x="23" y="9"/>
                  <a:pt x="23" y="9"/>
                </a:cubicBezTo>
                <a:cubicBezTo>
                  <a:pt x="57" y="9"/>
                  <a:pt x="57" y="9"/>
                  <a:pt x="57" y="9"/>
                </a:cubicBezTo>
                <a:lnTo>
                  <a:pt x="57" y="21"/>
                </a:lnTo>
                <a:close/>
                <a:moveTo>
                  <a:pt x="125" y="104"/>
                </a:moveTo>
                <a:cubicBezTo>
                  <a:pt x="111" y="99"/>
                  <a:pt x="92" y="92"/>
                  <a:pt x="75" y="73"/>
                </a:cubicBezTo>
                <a:cubicBezTo>
                  <a:pt x="123" y="73"/>
                  <a:pt x="123" y="73"/>
                  <a:pt x="123" y="73"/>
                </a:cubicBezTo>
                <a:cubicBezTo>
                  <a:pt x="123" y="63"/>
                  <a:pt x="123" y="63"/>
                  <a:pt x="123" y="63"/>
                </a:cubicBezTo>
                <a:cubicBezTo>
                  <a:pt x="68" y="63"/>
                  <a:pt x="68" y="63"/>
                  <a:pt x="68" y="63"/>
                </a:cubicBezTo>
                <a:cubicBezTo>
                  <a:pt x="68" y="52"/>
                  <a:pt x="68" y="52"/>
                  <a:pt x="68" y="52"/>
                </a:cubicBezTo>
                <a:cubicBezTo>
                  <a:pt x="113" y="52"/>
                  <a:pt x="113" y="52"/>
                  <a:pt x="113" y="52"/>
                </a:cubicBezTo>
                <a:cubicBezTo>
                  <a:pt x="113" y="0"/>
                  <a:pt x="113" y="0"/>
                  <a:pt x="113" y="0"/>
                </a:cubicBezTo>
                <a:cubicBezTo>
                  <a:pt x="12" y="0"/>
                  <a:pt x="12" y="0"/>
                  <a:pt x="12" y="0"/>
                </a:cubicBezTo>
                <a:cubicBezTo>
                  <a:pt x="12" y="52"/>
                  <a:pt x="12" y="52"/>
                  <a:pt x="12" y="52"/>
                </a:cubicBezTo>
                <a:cubicBezTo>
                  <a:pt x="57" y="52"/>
                  <a:pt x="57" y="52"/>
                  <a:pt x="57" y="52"/>
                </a:cubicBezTo>
                <a:cubicBezTo>
                  <a:pt x="57" y="63"/>
                  <a:pt x="57" y="63"/>
                  <a:pt x="57" y="63"/>
                </a:cubicBezTo>
                <a:cubicBezTo>
                  <a:pt x="1" y="63"/>
                  <a:pt x="1" y="63"/>
                  <a:pt x="1" y="63"/>
                </a:cubicBezTo>
                <a:cubicBezTo>
                  <a:pt x="1" y="73"/>
                  <a:pt x="1" y="73"/>
                  <a:pt x="1" y="73"/>
                </a:cubicBezTo>
                <a:cubicBezTo>
                  <a:pt x="49" y="73"/>
                  <a:pt x="49" y="73"/>
                  <a:pt x="49" y="73"/>
                </a:cubicBezTo>
                <a:cubicBezTo>
                  <a:pt x="39" y="86"/>
                  <a:pt x="23" y="96"/>
                  <a:pt x="0" y="104"/>
                </a:cubicBezTo>
                <a:cubicBezTo>
                  <a:pt x="6" y="114"/>
                  <a:pt x="6" y="114"/>
                  <a:pt x="6" y="114"/>
                </a:cubicBezTo>
                <a:cubicBezTo>
                  <a:pt x="37" y="101"/>
                  <a:pt x="49" y="89"/>
                  <a:pt x="57" y="77"/>
                </a:cubicBezTo>
                <a:cubicBezTo>
                  <a:pt x="57" y="117"/>
                  <a:pt x="57" y="117"/>
                  <a:pt x="57" y="117"/>
                </a:cubicBezTo>
                <a:cubicBezTo>
                  <a:pt x="68" y="117"/>
                  <a:pt x="68" y="117"/>
                  <a:pt x="68" y="117"/>
                </a:cubicBezTo>
                <a:cubicBezTo>
                  <a:pt x="68" y="78"/>
                  <a:pt x="68" y="78"/>
                  <a:pt x="68" y="78"/>
                </a:cubicBezTo>
                <a:cubicBezTo>
                  <a:pt x="79" y="94"/>
                  <a:pt x="98" y="105"/>
                  <a:pt x="119" y="114"/>
                </a:cubicBezTo>
                <a:lnTo>
                  <a:pt x="125" y="104"/>
                </a:lnTo>
                <a:close/>
                <a:moveTo>
                  <a:pt x="57" y="44"/>
                </a:moveTo>
                <a:cubicBezTo>
                  <a:pt x="23" y="44"/>
                  <a:pt x="23" y="44"/>
                  <a:pt x="23" y="44"/>
                </a:cubicBezTo>
                <a:cubicBezTo>
                  <a:pt x="23" y="30"/>
                  <a:pt x="23" y="30"/>
                  <a:pt x="23" y="30"/>
                </a:cubicBezTo>
                <a:cubicBezTo>
                  <a:pt x="57" y="30"/>
                  <a:pt x="57" y="30"/>
                  <a:pt x="57" y="30"/>
                </a:cubicBezTo>
                <a:lnTo>
                  <a:pt x="57" y="44"/>
                </a:lnTo>
                <a:close/>
                <a:moveTo>
                  <a:pt x="102" y="21"/>
                </a:moveTo>
                <a:cubicBezTo>
                  <a:pt x="68" y="21"/>
                  <a:pt x="68" y="21"/>
                  <a:pt x="68" y="21"/>
                </a:cubicBezTo>
                <a:cubicBezTo>
                  <a:pt x="68" y="9"/>
                  <a:pt x="68" y="9"/>
                  <a:pt x="68" y="9"/>
                </a:cubicBezTo>
                <a:cubicBezTo>
                  <a:pt x="102" y="9"/>
                  <a:pt x="102" y="9"/>
                  <a:pt x="102" y="9"/>
                </a:cubicBezTo>
                <a:lnTo>
                  <a:pt x="102" y="21"/>
                </a:lnTo>
                <a:close/>
                <a:moveTo>
                  <a:pt x="102" y="44"/>
                </a:moveTo>
                <a:cubicBezTo>
                  <a:pt x="68" y="44"/>
                  <a:pt x="68" y="44"/>
                  <a:pt x="68" y="44"/>
                </a:cubicBezTo>
                <a:cubicBezTo>
                  <a:pt x="68" y="30"/>
                  <a:pt x="68" y="30"/>
                  <a:pt x="68" y="30"/>
                </a:cubicBezTo>
                <a:cubicBezTo>
                  <a:pt x="102" y="30"/>
                  <a:pt x="102" y="30"/>
                  <a:pt x="102" y="30"/>
                </a:cubicBezTo>
                <a:lnTo>
                  <a:pt x="102" y="4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Rectangle 687"/>
          <xdr:cNvSpPr>
            <a:spLocks noChangeArrowheads="1"/>
          </xdr:cNvSpPr>
        </xdr:nvSpPr>
        <xdr:spPr bwMode="auto">
          <a:xfrm>
            <a:off x="6064873" y="0"/>
            <a:ext cx="87776" cy="2952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2" name="Rectangle 688"/>
          <xdr:cNvSpPr>
            <a:spLocks noChangeArrowheads="1"/>
          </xdr:cNvSpPr>
        </xdr:nvSpPr>
        <xdr:spPr bwMode="auto">
          <a:xfrm>
            <a:off x="4543425" y="0"/>
            <a:ext cx="78023" cy="29527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0</xdr:col>
      <xdr:colOff>123825</xdr:colOff>
      <xdr:row>0</xdr:row>
      <xdr:rowOff>152400</xdr:rowOff>
    </xdr:from>
    <xdr:to>
      <xdr:col>4</xdr:col>
      <xdr:colOff>1381125</xdr:colOff>
      <xdr:row>3</xdr:row>
      <xdr:rowOff>161925</xdr:rowOff>
    </xdr:to>
    <xdr:pic>
      <xdr:nvPicPr>
        <xdr:cNvPr id="13" name="図 14" descr="CASBEE名古屋ロゴ.jpg"/>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3825" y="152400"/>
          <a:ext cx="3990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algn="l" rtl="0">
            <a:lnSpc>
              <a:spcPts val="1300"/>
            </a:lnSpc>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建築環境総合性能評価システム 　　</a:t>
          </a:r>
          <a:r>
            <a:rPr lang="en-US" altLang="ja-JP" sz="1100" b="0" i="0" baseline="0">
              <a:effectLst/>
              <a:latin typeface="+mn-ea"/>
              <a:ea typeface="+mn-ea"/>
              <a:cs typeface="+mn-cs"/>
            </a:rPr>
            <a:t>CASBEE_</a:t>
          </a:r>
          <a:r>
            <a:rPr lang="ja-JP" altLang="ja-JP" sz="1100" b="0" i="0" baseline="0">
              <a:effectLst/>
              <a:latin typeface="+mn-ea"/>
              <a:ea typeface="+mn-ea"/>
              <a:cs typeface="+mn-cs"/>
            </a:rPr>
            <a:t>名古屋</a:t>
          </a:r>
          <a:r>
            <a:rPr lang="en-US" altLang="ja-JP" sz="1100" b="0" i="0" baseline="0">
              <a:effectLst/>
              <a:latin typeface="+mn-ea"/>
              <a:ea typeface="+mn-ea"/>
              <a:cs typeface="+mn-cs"/>
            </a:rPr>
            <a:t>2014v.1.22</a:t>
          </a:r>
          <a:r>
            <a:rPr lang="ja-JP" altLang="ja-JP" sz="1100" b="0" i="0" baseline="0">
              <a:effectLst/>
              <a:latin typeface="+mn-ea"/>
              <a:ea typeface="+mn-ea"/>
              <a:cs typeface="+mn-cs"/>
            </a:rPr>
            <a:t>評価ソフト</a:t>
          </a:r>
          <a:endParaRPr lang="en-US" altLang="ja-JP" sz="1100" b="0" i="0" baseline="0">
            <a:effectLst/>
            <a:latin typeface="+mn-ea"/>
            <a:ea typeface="+mn-ea"/>
            <a:cs typeface="+mn-cs"/>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版</a:t>
          </a:r>
        </a:p>
        <a:p>
          <a:pPr algn="l" rtl="0">
            <a:lnSpc>
              <a:spcPts val="1300"/>
            </a:lnSpc>
            <a:defRPr sz="1000"/>
          </a:pPr>
          <a:r>
            <a:rPr lang="ja-JP" altLang="en-US" sz="1100" b="0" i="0" u="none" strike="noStrike" baseline="0">
              <a:solidFill>
                <a:srgbClr val="000000"/>
              </a:solidFill>
              <a:latin typeface="+mn-ea"/>
              <a:ea typeface="+mn-ea"/>
            </a:rPr>
            <a:t>       CASBEE</a:t>
          </a:r>
          <a:r>
            <a:rPr lang="en-US" altLang="ja-JP" sz="1100" b="0" i="0" baseline="0">
              <a:effectLst/>
              <a:latin typeface="+mn-ea"/>
              <a:ea typeface="+mn-ea"/>
              <a:cs typeface="+mn-cs"/>
            </a:rPr>
            <a:t>_Nagoya_</a:t>
          </a:r>
          <a:r>
            <a:rPr lang="ja-JP" altLang="en-US" sz="1100" b="0" i="0" u="none" strike="noStrike" baseline="0">
              <a:solidFill>
                <a:srgbClr val="000000"/>
              </a:solidFill>
              <a:latin typeface="+mn-ea"/>
              <a:ea typeface="+mn-ea"/>
            </a:rPr>
            <a:t>NC_2014(v.1.</a:t>
          </a:r>
          <a:r>
            <a:rPr lang="en-US" altLang="ja-JP" sz="1100" b="0" i="0" u="none" strike="noStrike" baseline="0">
              <a:solidFill>
                <a:srgbClr val="000000"/>
              </a:solidFill>
              <a:latin typeface="+mn-ea"/>
              <a:ea typeface="+mn-ea"/>
            </a:rPr>
            <a:t>22</a:t>
          </a:r>
          <a:r>
            <a:rPr lang="ja-JP" altLang="en-US" sz="1100" b="0" i="0" u="none" strike="noStrike" baseline="0">
              <a:solidFill>
                <a:srgbClr val="000000"/>
              </a:solidFill>
              <a:latin typeface="+mn-ea"/>
              <a:ea typeface="+mn-ea"/>
            </a:rPr>
            <a:t>)</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2014年 </a:t>
          </a: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月発行　（2004年 7月初版）</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編集協力　　 　国土交通省住宅局</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ソフト開発者　 一般社団法人　日本サステナブル建築協会　（JSBC)　　　</a:t>
          </a:r>
        </a:p>
        <a:p>
          <a:pPr algn="l" rtl="0">
            <a:defRPr sz="1000"/>
          </a:pPr>
          <a:r>
            <a:rPr lang="ja-JP" altLang="en-US" sz="1100" b="0" i="0" u="none" strike="noStrike" baseline="0">
              <a:solidFill>
                <a:srgbClr val="000000"/>
              </a:solidFill>
              <a:latin typeface="ＭＳ Ｐゴシック"/>
              <a:ea typeface="ＭＳ Ｐゴシック"/>
            </a:rPr>
            <a:t>                          ( 建築物の総合的環境評価研究委員会 )　</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企画・発行　　一般財団法人　建築環境・省エネルギー機構　　　　　　</a:t>
          </a:r>
        </a:p>
        <a:p>
          <a:pPr algn="l" rtl="0">
            <a:defRPr sz="1000"/>
          </a:pPr>
          <a:r>
            <a:rPr lang="en-US" altLang="ja-JP" sz="1000" b="0" i="0" baseline="0">
              <a:effectLst/>
              <a:latin typeface="+mn-lt"/>
              <a:ea typeface="+mn-ea"/>
              <a:cs typeface="+mn-cs"/>
            </a:rPr>
            <a:t>   </a:t>
          </a:r>
          <a:r>
            <a:rPr lang="ja-JP" altLang="en-US" sz="1000" b="0" i="0" baseline="0">
              <a:effectLst/>
              <a:latin typeface="+mn-lt"/>
              <a:ea typeface="+mn-ea"/>
              <a:cs typeface="+mn-cs"/>
            </a:rPr>
            <a:t>　　</a:t>
          </a:r>
          <a:r>
            <a:rPr lang="en-US" altLang="ja-JP" sz="1000" b="0" i="0" baseline="0">
              <a:effectLst/>
              <a:latin typeface="+mn-lt"/>
              <a:ea typeface="+mn-ea"/>
              <a:cs typeface="+mn-cs"/>
            </a:rPr>
            <a:t>  </a:t>
          </a:r>
          <a:r>
            <a:rPr lang="en-US" altLang="ja-JP" sz="1100" b="0" i="0" baseline="0">
              <a:effectLst/>
              <a:latin typeface="+mn-ea"/>
              <a:ea typeface="+mn-ea"/>
              <a:cs typeface="+mn-cs"/>
            </a:rPr>
            <a:t>CASBEE</a:t>
          </a:r>
          <a:r>
            <a:rPr lang="ja-JP" altLang="ja-JP" sz="1100" b="0" i="0" baseline="0">
              <a:effectLst/>
              <a:latin typeface="+mn-ea"/>
              <a:ea typeface="+mn-ea"/>
              <a:cs typeface="+mn-cs"/>
            </a:rPr>
            <a:t>名古屋　企画・発行　　名古屋市住宅都市局建築指導</a:t>
          </a:r>
          <a:r>
            <a:rPr lang="ja-JP" altLang="en-US" sz="1100" b="0" i="0" baseline="0">
              <a:effectLst/>
              <a:latin typeface="+mn-ea"/>
              <a:ea typeface="+mn-ea"/>
              <a:cs typeface="+mn-cs"/>
            </a:rPr>
            <a:t>課</a:t>
          </a:r>
          <a:endParaRPr lang="ja-JP" altLang="en-US" sz="1100" b="0" i="0" u="none" strike="noStrike" baseline="0">
            <a:solidFill>
              <a:srgbClr val="000000"/>
            </a:solidFill>
            <a:latin typeface="+mn-ea"/>
            <a:ea typeface="+mn-ea"/>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ソフトの内容等に関する問い合わせ　  </a:t>
          </a:r>
        </a:p>
        <a:p>
          <a:pPr algn="l" rtl="0">
            <a:lnSpc>
              <a:spcPts val="1300"/>
            </a:lnSpc>
            <a:defRPr sz="1000"/>
          </a:pPr>
          <a:r>
            <a:rPr lang="ja-JP" altLang="en-US" sz="1100" b="0" i="0" u="none" strike="noStrike" baseline="0">
              <a:solidFill>
                <a:srgbClr val="000000"/>
              </a:solidFill>
              <a:latin typeface="ＭＳ Ｐゴシック"/>
              <a:ea typeface="ＭＳ Ｐゴシック"/>
            </a:rPr>
            <a:t>　　　　　本ソフトの内容に関するご質問は、下記連絡先までE-mailにてお送りください。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なお、回答までに日数を要する場合がありますので、予めご了承ください。</a:t>
          </a:r>
        </a:p>
        <a:p>
          <a:pPr algn="l" rtl="0">
            <a:defRPr sz="1000"/>
          </a:pPr>
          <a:r>
            <a:rPr lang="ja-JP" altLang="en-US" sz="1100" b="0" i="0" u="none" strike="noStrike" baseline="0">
              <a:solidFill>
                <a:srgbClr val="000000"/>
              </a:solidFill>
              <a:latin typeface="ＭＳ Ｐゴシック"/>
              <a:ea typeface="ＭＳ Ｐゴシック"/>
            </a:rPr>
            <a:t>　　　　　また、Microsoft Windows、Microsoft Excel 20</a:t>
          </a:r>
          <a:r>
            <a:rPr lang="en-US" altLang="ja-JP" sz="1100" b="0" i="0" u="none" strike="noStrike" baseline="0">
              <a:solidFill>
                <a:srgbClr val="000000"/>
              </a:solidFill>
              <a:latin typeface="ＭＳ Ｐゴシック"/>
              <a:ea typeface="ＭＳ Ｐゴシック"/>
            </a:rPr>
            <a:t>13</a:t>
          </a:r>
          <a:r>
            <a:rPr lang="ja-JP" altLang="en-US" sz="1100" b="0" i="0" u="none" strike="noStrike" baseline="0">
              <a:solidFill>
                <a:srgbClr val="000000"/>
              </a:solidFill>
              <a:latin typeface="ＭＳ Ｐゴシック"/>
              <a:ea typeface="ＭＳ Ｐゴシック"/>
            </a:rPr>
            <a:t> 等の操作に関しては、</a:t>
          </a:r>
        </a:p>
        <a:p>
          <a:pPr algn="l" rtl="0">
            <a:lnSpc>
              <a:spcPts val="1300"/>
            </a:lnSpc>
            <a:defRPr sz="1000"/>
          </a:pPr>
          <a:r>
            <a:rPr lang="ja-JP" altLang="en-US" sz="1100" b="0" i="0" u="none" strike="noStrike" baseline="0">
              <a:solidFill>
                <a:srgbClr val="000000"/>
              </a:solidFill>
              <a:latin typeface="ＭＳ Ｐゴシック"/>
              <a:ea typeface="ＭＳ Ｐゴシック"/>
            </a:rPr>
            <a:t>          それぞれの操作マニュアルをご覧ください。</a:t>
          </a:r>
        </a:p>
        <a:p>
          <a:pPr algn="l" rtl="0">
            <a:defRPr sz="1000"/>
          </a:pPr>
          <a:r>
            <a:rPr lang="ja-JP" altLang="en-US" sz="1100" b="0" i="0" u="none" strike="noStrike" baseline="0">
              <a:solidFill>
                <a:srgbClr val="000000"/>
              </a:solidFill>
              <a:latin typeface="ＭＳ Ｐゴシック"/>
              <a:ea typeface="ＭＳ Ｐゴシック"/>
            </a:rPr>
            <a:t>　　　　　　　　　　　　</a:t>
          </a:r>
        </a:p>
        <a:p>
          <a:pPr algn="l" rtl="0">
            <a:lnSpc>
              <a:spcPts val="1300"/>
            </a:lnSpc>
            <a:defRPr sz="1000"/>
          </a:pPr>
          <a:r>
            <a:rPr lang="ja-JP" altLang="en-US" sz="1100" b="0" i="0" u="none" strike="noStrike" baseline="0">
              <a:solidFill>
                <a:srgbClr val="000000"/>
              </a:solidFill>
              <a:latin typeface="ＭＳ Ｐゴシック"/>
              <a:ea typeface="+mn-ea"/>
            </a:rPr>
            <a:t>　　　　　名古屋市住宅都市局建築指導課</a:t>
          </a:r>
        </a:p>
        <a:p>
          <a:pPr algn="l" rtl="0">
            <a:lnSpc>
              <a:spcPts val="1300"/>
            </a:lnSpc>
            <a:defRPr sz="1000"/>
          </a:pP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460-8508</a:t>
          </a:r>
          <a:r>
            <a:rPr lang="ja-JP" altLang="en-US" sz="1100" b="0" i="0" u="none" strike="noStrike" baseline="0">
              <a:solidFill>
                <a:srgbClr val="000000"/>
              </a:solidFill>
              <a:latin typeface="ＭＳ Ｐゴシック"/>
              <a:ea typeface="+mn-ea"/>
            </a:rPr>
            <a:t>　名古屋市中区三の丸三丁目１番１号　名古屋市役所西庁舎２階</a:t>
          </a:r>
        </a:p>
        <a:p>
          <a:pPr algn="l" rtl="0">
            <a:lnSpc>
              <a:spcPts val="1300"/>
            </a:lnSpc>
            <a:defRPr sz="1000"/>
          </a:pP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E-Mail  a2924@jutakutoshi.city.nagoya.lg.jp</a:t>
          </a:r>
        </a:p>
        <a:p>
          <a:pPr algn="l" rtl="0">
            <a:lnSpc>
              <a:spcPts val="1300"/>
            </a:lnSpc>
            <a:defRPr sz="1000"/>
          </a:pP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URL</a:t>
          </a:r>
          <a:r>
            <a:rPr lang="ja-JP" altLang="en-US" sz="1100" b="0" i="0" u="none" strike="noStrike" baseline="0">
              <a:solidFill>
                <a:srgbClr val="000000"/>
              </a:solidFill>
              <a:latin typeface="ＭＳ Ｐゴシック"/>
              <a:ea typeface="+mn-ea"/>
            </a:rPr>
            <a:t>　</a:t>
          </a:r>
          <a:r>
            <a:rPr lang="en-US" altLang="ja-JP" sz="1100" b="0" i="0" u="none" strike="noStrike" baseline="0">
              <a:solidFill>
                <a:srgbClr val="000000"/>
              </a:solidFill>
              <a:latin typeface="ＭＳ Ｐゴシック"/>
              <a:ea typeface="+mn-ea"/>
            </a:rPr>
            <a:t>http://www.city.nagoya.jp/index.html</a:t>
          </a:r>
          <a:r>
            <a:rPr lang="ja-JP" altLang="en-US" sz="1100" b="0" i="0" u="none" strike="noStrike" baseline="0">
              <a:solidFill>
                <a:srgbClr val="000000"/>
              </a:solidFill>
              <a:latin typeface="ＭＳ Ｐゴシック"/>
              <a:ea typeface="+mn-ea"/>
            </a:rPr>
            <a:t>　</a:t>
          </a:r>
          <a:endParaRPr lang="en-US" altLang="ja-JP" sz="1100" b="0" i="0" u="none" strike="noStrike" baseline="0">
            <a:solidFill>
              <a:srgbClr val="000000"/>
            </a:solidFill>
            <a:latin typeface="ＭＳ Ｐゴシック"/>
            <a:ea typeface="+mn-ea"/>
          </a:endParaRPr>
        </a:p>
        <a:p>
          <a:pPr algn="l" rtl="0">
            <a:lnSpc>
              <a:spcPts val="1300"/>
            </a:lnSpc>
            <a:defRPr sz="1000"/>
          </a:pPr>
          <a:r>
            <a:rPr lang="ja-JP" altLang="en-US" sz="1100" b="0" i="0" u="none" strike="noStrike" baseline="0">
              <a:solidFill>
                <a:srgbClr val="000000"/>
              </a:solidFill>
              <a:latin typeface="ＭＳ Ｐゴシック"/>
              <a:ea typeface="+mn-ea"/>
            </a:rPr>
            <a:t>　　　　　</a:t>
          </a:r>
        </a:p>
        <a:p>
          <a:pPr algn="l" rtl="0">
            <a:lnSpc>
              <a:spcPts val="1300"/>
            </a:lnSpc>
            <a:defRPr sz="1000"/>
          </a:pPr>
          <a:r>
            <a:rPr lang="ja-JP" altLang="en-US" sz="1100" b="0" i="0" u="none" strike="noStrike" baseline="0">
              <a:solidFill>
                <a:srgbClr val="000000"/>
              </a:solidFill>
              <a:latin typeface="ＭＳ Ｐゴシック"/>
              <a:ea typeface="ＭＳ Ｐゴシック"/>
            </a:rPr>
            <a:t> Copyright ©2014 Japan Sustainable Building Consortium (JSBC)</a:t>
          </a:r>
        </a:p>
      </xdr:txBody>
    </xdr:sp>
    <xdr:clientData/>
  </xdr:twoCellAnchor>
  <xdr:twoCellAnchor>
    <xdr:from>
      <xdr:col>1</xdr:col>
      <xdr:colOff>28575</xdr:colOff>
      <xdr:row>0</xdr:row>
      <xdr:rowOff>104775</xdr:rowOff>
    </xdr:from>
    <xdr:to>
      <xdr:col>7</xdr:col>
      <xdr:colOff>180975</xdr:colOff>
      <xdr:row>35</xdr:row>
      <xdr:rowOff>161925</xdr:rowOff>
    </xdr:to>
    <xdr:sp macro="" textlink="">
      <xdr:nvSpPr>
        <xdr:cNvPr id="4099" name="Text Box 3"/>
        <xdr:cNvSpPr txBox="1">
          <a:spLocks noChangeArrowheads="1"/>
        </xdr:cNvSpPr>
      </xdr:nvSpPr>
      <xdr:spPr bwMode="auto">
        <a:xfrm>
          <a:off x="114300" y="104775"/>
          <a:ext cx="41529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mn-ea"/>
            </a:rPr>
            <a:t>で作成されたものです。「</a:t>
          </a:r>
          <a:r>
            <a:rPr lang="en-US" altLang="ja-JP" sz="1100" b="0" i="0" u="none" strike="noStrike" baseline="0">
              <a:solidFill>
                <a:srgbClr val="000000"/>
              </a:solidFill>
              <a:latin typeface="ＭＳ Ｐゴシック"/>
              <a:ea typeface="+mn-ea"/>
            </a:rPr>
            <a:t>CASBEE_</a:t>
          </a:r>
          <a:r>
            <a:rPr lang="ja-JP" altLang="en-US" sz="1100" b="0" i="0" u="none" strike="noStrike" baseline="0">
              <a:solidFill>
                <a:srgbClr val="000000"/>
              </a:solidFill>
              <a:latin typeface="ＭＳ Ｐゴシック"/>
              <a:ea typeface="+mn-ea"/>
            </a:rPr>
            <a:t>名古屋</a:t>
          </a:r>
          <a:r>
            <a:rPr lang="en-US" altLang="ja-JP" sz="1100" b="0" i="0" u="none" strike="noStrike" baseline="0">
              <a:solidFill>
                <a:srgbClr val="000000"/>
              </a:solidFill>
              <a:latin typeface="ＭＳ Ｐゴシック"/>
              <a:ea typeface="+mn-ea"/>
            </a:rPr>
            <a:t>2014</a:t>
          </a:r>
          <a:r>
            <a:rPr lang="ja-JP" altLang="en-US" sz="1100" b="0" i="0" u="none" strike="noStrike" baseline="0">
              <a:solidFill>
                <a:srgbClr val="000000"/>
              </a:solidFill>
              <a:latin typeface="ＭＳ Ｐゴシック"/>
              <a:ea typeface="+mn-ea"/>
            </a:rPr>
            <a:t>」は「</a:t>
          </a:r>
          <a:r>
            <a:rPr lang="en-US" altLang="ja-JP" sz="1100" b="0" i="0" u="none" strike="noStrike" baseline="0">
              <a:solidFill>
                <a:srgbClr val="000000"/>
              </a:solidFill>
              <a:latin typeface="ＭＳ Ｐゴシック"/>
              <a:ea typeface="+mn-ea"/>
            </a:rPr>
            <a:t>CASBEE-</a:t>
          </a:r>
          <a:r>
            <a:rPr lang="ja-JP" altLang="en-US" sz="1100" b="0" i="0" u="none" strike="noStrike" baseline="0">
              <a:solidFill>
                <a:srgbClr val="000000"/>
              </a:solidFill>
              <a:latin typeface="ＭＳ Ｐゴシック"/>
              <a:ea typeface="+mn-ea"/>
            </a:rPr>
            <a:t>建築（新築）評価ソフト」を基本とし、</a:t>
          </a:r>
          <a:r>
            <a:rPr lang="en-US" altLang="ja-JP" sz="1100" b="0" i="0" u="none" strike="noStrike" baseline="0">
              <a:solidFill>
                <a:srgbClr val="000000"/>
              </a:solidFill>
              <a:latin typeface="ＭＳ Ｐゴシック"/>
              <a:ea typeface="+mn-ea"/>
            </a:rPr>
            <a:t>xls</a:t>
          </a:r>
          <a:r>
            <a:rPr lang="ja-JP" altLang="en-US" sz="1100" b="0" i="0" u="none" strike="noStrike" baseline="0">
              <a:solidFill>
                <a:srgbClr val="000000"/>
              </a:solidFill>
              <a:latin typeface="ＭＳ Ｐゴシック"/>
              <a:ea typeface="+mn-ea"/>
            </a:rPr>
            <a:t>形式で作成されたものであり、全てのコンピューター上での動作を保障するものではありません。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22</xdr:row>
      <xdr:rowOff>0</xdr:rowOff>
    </xdr:from>
    <xdr:to>
      <xdr:col>6</xdr:col>
      <xdr:colOff>485775</xdr:colOff>
      <xdr:row>26</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22</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24</xdr:row>
      <xdr:rowOff>180975</xdr:rowOff>
    </xdr:from>
    <xdr:to>
      <xdr:col>7</xdr:col>
      <xdr:colOff>9525</xdr:colOff>
      <xdr:row>26</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25</xdr:row>
      <xdr:rowOff>0</xdr:rowOff>
    </xdr:from>
    <xdr:to>
      <xdr:col>11</xdr:col>
      <xdr:colOff>228600</xdr:colOff>
      <xdr:row>26</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21</xdr:row>
      <xdr:rowOff>219075</xdr:rowOff>
    </xdr:from>
    <xdr:to>
      <xdr:col>10</xdr:col>
      <xdr:colOff>485775</xdr:colOff>
      <xdr:row>25</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133350</xdr:colOff>
      <xdr:row>25</xdr:row>
      <xdr:rowOff>123825</xdr:rowOff>
    </xdr:from>
    <xdr:to>
      <xdr:col>6</xdr:col>
      <xdr:colOff>114300</xdr:colOff>
      <xdr:row>38</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26</xdr:row>
      <xdr:rowOff>47625</xdr:rowOff>
    </xdr:from>
    <xdr:to>
      <xdr:col>10</xdr:col>
      <xdr:colOff>857250</xdr:colOff>
      <xdr:row>35</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27</xdr:row>
      <xdr:rowOff>38100</xdr:rowOff>
    </xdr:from>
    <xdr:to>
      <xdr:col>8</xdr:col>
      <xdr:colOff>209550</xdr:colOff>
      <xdr:row>28</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28</xdr:row>
      <xdr:rowOff>161925</xdr:rowOff>
    </xdr:from>
    <xdr:to>
      <xdr:col>8</xdr:col>
      <xdr:colOff>276225</xdr:colOff>
      <xdr:row>30</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30</xdr:row>
      <xdr:rowOff>47625</xdr:rowOff>
    </xdr:from>
    <xdr:to>
      <xdr:col>8</xdr:col>
      <xdr:colOff>276225</xdr:colOff>
      <xdr:row>31</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31</xdr:row>
      <xdr:rowOff>180975</xdr:rowOff>
    </xdr:from>
    <xdr:to>
      <xdr:col>8</xdr:col>
      <xdr:colOff>276225</xdr:colOff>
      <xdr:row>33</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34</xdr:row>
      <xdr:rowOff>114300</xdr:rowOff>
    </xdr:from>
    <xdr:to>
      <xdr:col>11</xdr:col>
      <xdr:colOff>47625</xdr:colOff>
      <xdr:row>35</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742950</xdr:colOff>
      <xdr:row>21</xdr:row>
      <xdr:rowOff>180975</xdr:rowOff>
    </xdr:from>
    <xdr:to>
      <xdr:col>15</xdr:col>
      <xdr:colOff>47625</xdr:colOff>
      <xdr:row>37</xdr:row>
      <xdr:rowOff>85725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41</xdr:row>
      <xdr:rowOff>114300</xdr:rowOff>
    </xdr:from>
    <xdr:to>
      <xdr:col>7</xdr:col>
      <xdr:colOff>0</xdr:colOff>
      <xdr:row>49</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41</xdr:row>
      <xdr:rowOff>104775</xdr:rowOff>
    </xdr:from>
    <xdr:to>
      <xdr:col>10</xdr:col>
      <xdr:colOff>752475</xdr:colOff>
      <xdr:row>49</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41</xdr:row>
      <xdr:rowOff>104775</xdr:rowOff>
    </xdr:from>
    <xdr:to>
      <xdr:col>14</xdr:col>
      <xdr:colOff>714375</xdr:colOff>
      <xdr:row>49</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52</xdr:row>
      <xdr:rowOff>152400</xdr:rowOff>
    </xdr:from>
    <xdr:to>
      <xdr:col>6</xdr:col>
      <xdr:colOff>476250</xdr:colOff>
      <xdr:row>60</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52</xdr:row>
      <xdr:rowOff>133350</xdr:rowOff>
    </xdr:from>
    <xdr:to>
      <xdr:col>10</xdr:col>
      <xdr:colOff>742950</xdr:colOff>
      <xdr:row>60</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53</xdr:row>
      <xdr:rowOff>0</xdr:rowOff>
    </xdr:from>
    <xdr:to>
      <xdr:col>14</xdr:col>
      <xdr:colOff>723900</xdr:colOff>
      <xdr:row>61</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48</xdr:row>
      <xdr:rowOff>161925</xdr:rowOff>
    </xdr:from>
    <xdr:to>
      <xdr:col>2</xdr:col>
      <xdr:colOff>704850</xdr:colOff>
      <xdr:row>49</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48</xdr:row>
      <xdr:rowOff>161925</xdr:rowOff>
    </xdr:from>
    <xdr:to>
      <xdr:col>8</xdr:col>
      <xdr:colOff>285750</xdr:colOff>
      <xdr:row>49</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48</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48</xdr:row>
      <xdr:rowOff>114300</xdr:rowOff>
    </xdr:from>
    <xdr:to>
      <xdr:col>9</xdr:col>
      <xdr:colOff>581025</xdr:colOff>
      <xdr:row>50</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48</xdr:row>
      <xdr:rowOff>114300</xdr:rowOff>
    </xdr:from>
    <xdr:to>
      <xdr:col>10</xdr:col>
      <xdr:colOff>571500</xdr:colOff>
      <xdr:row>50</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48</xdr:row>
      <xdr:rowOff>114300</xdr:rowOff>
    </xdr:from>
    <xdr:to>
      <xdr:col>13</xdr:col>
      <xdr:colOff>142875</xdr:colOff>
      <xdr:row>50</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48</xdr:row>
      <xdr:rowOff>114300</xdr:rowOff>
    </xdr:from>
    <xdr:to>
      <xdr:col>14</xdr:col>
      <xdr:colOff>342900</xdr:colOff>
      <xdr:row>50</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41</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40</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41</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48</xdr:row>
      <xdr:rowOff>171450</xdr:rowOff>
    </xdr:from>
    <xdr:to>
      <xdr:col>4</xdr:col>
      <xdr:colOff>76200</xdr:colOff>
      <xdr:row>49</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48</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48</xdr:row>
      <xdr:rowOff>161925</xdr:rowOff>
    </xdr:from>
    <xdr:to>
      <xdr:col>6</xdr:col>
      <xdr:colOff>400050</xdr:colOff>
      <xdr:row>49</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59</xdr:row>
      <xdr:rowOff>114300</xdr:rowOff>
    </xdr:from>
    <xdr:to>
      <xdr:col>8</xdr:col>
      <xdr:colOff>209550</xdr:colOff>
      <xdr:row>60</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59</xdr:row>
      <xdr:rowOff>114300</xdr:rowOff>
    </xdr:from>
    <xdr:to>
      <xdr:col>9</xdr:col>
      <xdr:colOff>704850</xdr:colOff>
      <xdr:row>60</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51</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51</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51</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59</xdr:row>
      <xdr:rowOff>114300</xdr:rowOff>
    </xdr:from>
    <xdr:to>
      <xdr:col>10</xdr:col>
      <xdr:colOff>657225</xdr:colOff>
      <xdr:row>60</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59</xdr:row>
      <xdr:rowOff>114300</xdr:rowOff>
    </xdr:from>
    <xdr:to>
      <xdr:col>2</xdr:col>
      <xdr:colOff>771525</xdr:colOff>
      <xdr:row>60</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59</xdr:row>
      <xdr:rowOff>114300</xdr:rowOff>
    </xdr:from>
    <xdr:to>
      <xdr:col>4</xdr:col>
      <xdr:colOff>85725</xdr:colOff>
      <xdr:row>60</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59</xdr:row>
      <xdr:rowOff>114300</xdr:rowOff>
    </xdr:from>
    <xdr:to>
      <xdr:col>5</xdr:col>
      <xdr:colOff>142875</xdr:colOff>
      <xdr:row>60</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59</xdr:row>
      <xdr:rowOff>114300</xdr:rowOff>
    </xdr:from>
    <xdr:to>
      <xdr:col>6</xdr:col>
      <xdr:colOff>285750</xdr:colOff>
      <xdr:row>60</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59</xdr:row>
      <xdr:rowOff>104775</xdr:rowOff>
    </xdr:from>
    <xdr:to>
      <xdr:col>12</xdr:col>
      <xdr:colOff>257175</xdr:colOff>
      <xdr:row>60</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59</xdr:row>
      <xdr:rowOff>104775</xdr:rowOff>
    </xdr:from>
    <xdr:to>
      <xdr:col>13</xdr:col>
      <xdr:colOff>257175</xdr:colOff>
      <xdr:row>60</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59</xdr:row>
      <xdr:rowOff>104775</xdr:rowOff>
    </xdr:from>
    <xdr:to>
      <xdr:col>14</xdr:col>
      <xdr:colOff>514350</xdr:colOff>
      <xdr:row>60</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70</xdr:row>
      <xdr:rowOff>0</xdr:rowOff>
    </xdr:from>
    <xdr:to>
      <xdr:col>15</xdr:col>
      <xdr:colOff>9525</xdr:colOff>
      <xdr:row>96</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twoCellAnchor editAs="oneCell">
    <xdr:from>
      <xdr:col>2</xdr:col>
      <xdr:colOff>0</xdr:colOff>
      <xdr:row>0</xdr:row>
      <xdr:rowOff>76199</xdr:rowOff>
    </xdr:from>
    <xdr:to>
      <xdr:col>10</xdr:col>
      <xdr:colOff>671359</xdr:colOff>
      <xdr:row>4</xdr:row>
      <xdr:rowOff>38099</xdr:rowOff>
    </xdr:to>
    <xdr:pic>
      <xdr:nvPicPr>
        <xdr:cNvPr id="62" name="図 4" descr="CASBEE名古屋ロゴ.jpg"/>
        <xdr:cNvPicPr>
          <a:picLocks noChangeAspect="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19075" y="76199"/>
          <a:ext cx="626253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4.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39">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0">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93%</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1">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93%</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2">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93%</a:t>
          </a:fld>
          <a:endParaRPr lang="ja-JP" altLang="en-US" sz="800" b="1">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0">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T$48">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T$49">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T$51">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8">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W$49">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0">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8">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49">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0">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8.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5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59">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1">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R107"/>
  <sheetViews>
    <sheetView showGridLines="0" tabSelected="1" zoomScaleNormal="100" workbookViewId="0">
      <selection activeCell="F12" sqref="F12"/>
    </sheetView>
  </sheetViews>
  <sheetFormatPr defaultColWidth="0" defaultRowHeight="0" customHeight="1" zeroHeight="1"/>
  <cols>
    <col min="1" max="1" width="1.75" style="102" customWidth="1"/>
    <col min="2" max="2" width="21.625" style="102" customWidth="1"/>
    <col min="3" max="3" width="15.125" style="102" customWidth="1"/>
    <col min="4" max="4" width="16.5" style="102" customWidth="1"/>
    <col min="5" max="5" width="13.875" style="102" customWidth="1"/>
    <col min="6" max="6" width="11.5" style="102" customWidth="1"/>
    <col min="7" max="7" width="3.125" style="102" customWidth="1"/>
    <col min="8" max="8" width="8.25" style="102" customWidth="1"/>
    <col min="9" max="9" width="11.375" hidden="1" customWidth="1"/>
    <col min="10" max="11" width="9.5" hidden="1" customWidth="1"/>
    <col min="12" max="12" width="13.375" hidden="1" customWidth="1"/>
    <col min="13" max="13" width="8.625" hidden="1" customWidth="1"/>
    <col min="14" max="14" width="2.5" hidden="1" customWidth="1"/>
    <col min="15" max="15" width="7.25" hidden="1" customWidth="1"/>
    <col min="16" max="16" width="8" hidden="1" customWidth="1"/>
    <col min="17" max="17" width="10" hidden="1" customWidth="1"/>
    <col min="18" max="18" width="11.375" hidden="1" customWidth="1"/>
  </cols>
  <sheetData>
    <row r="1" spans="1:11" ht="13.5">
      <c r="A1" s="3"/>
      <c r="B1" s="4"/>
      <c r="C1" s="3"/>
      <c r="D1" s="3"/>
      <c r="E1" s="3"/>
      <c r="F1" s="3"/>
      <c r="G1" s="3"/>
      <c r="H1" s="3"/>
    </row>
    <row r="2" spans="1:11" ht="21.75" customHeight="1">
      <c r="A2" s="3"/>
      <c r="B2" s="4"/>
      <c r="C2" s="3"/>
      <c r="D2" s="3"/>
      <c r="E2" s="3"/>
      <c r="F2" s="3"/>
      <c r="G2" s="3"/>
      <c r="H2" s="3"/>
    </row>
    <row r="3" spans="1:11" ht="21.75" customHeight="1">
      <c r="A3" s="3"/>
      <c r="B3" s="4"/>
      <c r="C3" s="3"/>
      <c r="D3" s="3"/>
      <c r="E3" s="3"/>
      <c r="F3" s="3"/>
      <c r="G3" s="3"/>
      <c r="H3" s="3"/>
      <c r="I3" t="s">
        <v>531</v>
      </c>
    </row>
    <row r="4" spans="1:11" ht="25.5">
      <c r="A4" s="3"/>
      <c r="B4" s="5" t="s">
        <v>3260</v>
      </c>
      <c r="C4" s="6"/>
      <c r="D4" s="6"/>
      <c r="E4" s="6"/>
      <c r="F4" s="7"/>
      <c r="G4" s="3"/>
      <c r="H4" s="3"/>
    </row>
    <row r="5" spans="1:11" ht="13.5">
      <c r="A5" s="8"/>
      <c r="B5" s="9" t="s">
        <v>532</v>
      </c>
      <c r="C5" s="10" t="s">
        <v>3443</v>
      </c>
      <c r="D5" s="10"/>
      <c r="E5" s="3"/>
      <c r="F5" s="3"/>
      <c r="G5" s="3"/>
      <c r="H5" s="3"/>
      <c r="I5" t="s">
        <v>72</v>
      </c>
      <c r="J5" t="s">
        <v>1543</v>
      </c>
      <c r="K5">
        <v>1</v>
      </c>
    </row>
    <row r="6" spans="1:11" ht="13.5">
      <c r="A6" s="8"/>
      <c r="B6" s="12" t="s">
        <v>2344</v>
      </c>
      <c r="C6" s="13" t="s">
        <v>3394</v>
      </c>
      <c r="D6" s="13"/>
      <c r="E6" s="3"/>
      <c r="F6" s="3"/>
      <c r="G6" s="3"/>
      <c r="H6" s="3"/>
      <c r="I6" t="s">
        <v>73</v>
      </c>
      <c r="J6" t="s">
        <v>1435</v>
      </c>
      <c r="K6">
        <v>2</v>
      </c>
    </row>
    <row r="7" spans="1:11" ht="6.75" customHeight="1" thickBot="1">
      <c r="A7" s="8"/>
      <c r="B7" s="11"/>
      <c r="C7" s="11"/>
      <c r="D7" s="11"/>
      <c r="E7" s="11"/>
      <c r="F7" s="11"/>
      <c r="G7" s="3"/>
      <c r="H7" s="3"/>
      <c r="I7" t="s">
        <v>74</v>
      </c>
      <c r="J7" t="s">
        <v>2286</v>
      </c>
      <c r="K7" s="2507">
        <v>3</v>
      </c>
    </row>
    <row r="8" spans="1:11" ht="17.25" customHeight="1">
      <c r="A8" s="8"/>
      <c r="B8" s="14" t="s">
        <v>2287</v>
      </c>
      <c r="C8" s="15"/>
      <c r="D8" s="15"/>
      <c r="E8" s="15"/>
      <c r="F8" s="16"/>
      <c r="G8" s="3"/>
      <c r="H8" s="3"/>
      <c r="I8" t="s">
        <v>75</v>
      </c>
      <c r="J8" t="s">
        <v>2288</v>
      </c>
      <c r="K8" s="2507">
        <v>4</v>
      </c>
    </row>
    <row r="9" spans="1:11" ht="13.5">
      <c r="A9" s="8"/>
      <c r="B9" s="17" t="s">
        <v>2289</v>
      </c>
      <c r="C9" s="18"/>
      <c r="D9" s="18"/>
      <c r="E9" s="18"/>
      <c r="F9" s="19"/>
      <c r="G9" s="3"/>
      <c r="H9" s="3"/>
      <c r="I9" t="s">
        <v>76</v>
      </c>
      <c r="J9" t="s">
        <v>2290</v>
      </c>
      <c r="K9" s="2507">
        <v>5</v>
      </c>
    </row>
    <row r="10" spans="1:11" ht="13.5" hidden="1" customHeight="1">
      <c r="A10" s="8"/>
      <c r="B10" s="20"/>
      <c r="C10" s="21"/>
      <c r="D10" s="21"/>
      <c r="E10" s="21"/>
      <c r="F10" s="22"/>
      <c r="G10" s="3"/>
      <c r="H10" s="3"/>
      <c r="I10" t="s">
        <v>77</v>
      </c>
      <c r="J10" t="s">
        <v>2291</v>
      </c>
      <c r="K10" s="2507">
        <v>6</v>
      </c>
    </row>
    <row r="11" spans="1:11" ht="13.5">
      <c r="A11" s="23"/>
      <c r="B11" s="24" t="s">
        <v>2292</v>
      </c>
      <c r="C11" s="2771" t="s">
        <v>753</v>
      </c>
      <c r="D11" s="2772"/>
      <c r="E11" s="26"/>
      <c r="F11" s="27"/>
      <c r="G11" s="3"/>
      <c r="H11" s="3"/>
      <c r="I11" t="s">
        <v>78</v>
      </c>
      <c r="K11" s="2507">
        <v>7</v>
      </c>
    </row>
    <row r="12" spans="1:11" ht="13.5">
      <c r="A12" s="23"/>
      <c r="B12" s="28" t="s">
        <v>2293</v>
      </c>
      <c r="C12" s="2765" t="s">
        <v>3444</v>
      </c>
      <c r="D12" s="2766"/>
      <c r="E12" s="2767"/>
      <c r="F12" s="31" t="s">
        <v>77</v>
      </c>
      <c r="G12" s="3"/>
      <c r="H12" s="3"/>
      <c r="I12" t="s">
        <v>79</v>
      </c>
      <c r="K12" s="2507">
        <v>8</v>
      </c>
    </row>
    <row r="13" spans="1:11" ht="13.5" hidden="1">
      <c r="A13" s="23"/>
      <c r="B13" s="28"/>
      <c r="C13" s="29"/>
      <c r="D13" s="2375"/>
      <c r="E13" s="30"/>
      <c r="F13" s="31"/>
      <c r="G13" s="3"/>
      <c r="H13" s="3"/>
      <c r="I13" t="s">
        <v>80</v>
      </c>
    </row>
    <row r="14" spans="1:11" ht="13.5">
      <c r="A14" s="23"/>
      <c r="B14" s="28" t="s">
        <v>329</v>
      </c>
      <c r="C14" s="2765" t="s">
        <v>330</v>
      </c>
      <c r="D14" s="2766"/>
      <c r="E14" s="2767"/>
      <c r="F14" s="27"/>
      <c r="G14" s="3"/>
      <c r="H14" s="3"/>
    </row>
    <row r="15" spans="1:11" ht="16.5" customHeight="1">
      <c r="A15" s="23"/>
      <c r="B15" s="28" t="s">
        <v>331</v>
      </c>
      <c r="C15" s="32">
        <v>42705</v>
      </c>
      <c r="D15" s="26"/>
      <c r="E15" s="26"/>
      <c r="F15" s="31"/>
      <c r="G15" s="3"/>
      <c r="H15" s="3"/>
      <c r="K15" s="1">
        <f>VLOOKUP(F12,I5:K12,3)</f>
        <v>6</v>
      </c>
    </row>
    <row r="16" spans="1:11" ht="13.5" hidden="1">
      <c r="A16" s="23"/>
      <c r="B16" s="28"/>
      <c r="C16" s="32"/>
      <c r="D16" s="26"/>
      <c r="E16" s="26"/>
      <c r="F16" s="33"/>
      <c r="G16" s="3"/>
      <c r="H16" s="3"/>
    </row>
    <row r="17" spans="1:12" ht="13.5">
      <c r="A17" s="23"/>
      <c r="B17" s="28" t="s">
        <v>333</v>
      </c>
      <c r="C17" s="34" t="s">
        <v>754</v>
      </c>
      <c r="D17" s="35" t="s">
        <v>755</v>
      </c>
      <c r="E17" s="35"/>
      <c r="F17" s="27"/>
      <c r="G17" s="3"/>
      <c r="H17" s="3"/>
    </row>
    <row r="18" spans="1:12" ht="17.25" customHeight="1">
      <c r="A18" s="23"/>
      <c r="B18" s="28" t="s">
        <v>334</v>
      </c>
      <c r="C18" s="34" t="s">
        <v>756</v>
      </c>
      <c r="D18" s="35" t="s">
        <v>757</v>
      </c>
      <c r="E18" s="35"/>
      <c r="F18" s="27"/>
      <c r="G18" s="3"/>
      <c r="H18" s="3"/>
    </row>
    <row r="19" spans="1:12" ht="17.25" customHeight="1">
      <c r="A19" s="23"/>
      <c r="B19" s="28" t="s">
        <v>335</v>
      </c>
      <c r="C19" s="36">
        <f>SUM(C63:C64)</f>
        <v>3000</v>
      </c>
      <c r="D19" s="35" t="s">
        <v>755</v>
      </c>
      <c r="E19" s="35"/>
      <c r="F19" s="27"/>
      <c r="G19" s="3"/>
      <c r="H19" s="3"/>
    </row>
    <row r="20" spans="1:12" ht="17.25" customHeight="1">
      <c r="A20" s="23"/>
      <c r="B20" s="28" t="s">
        <v>336</v>
      </c>
      <c r="C20" s="2765" t="s">
        <v>758</v>
      </c>
      <c r="D20" s="2766"/>
      <c r="E20" s="2767"/>
      <c r="F20" s="27"/>
      <c r="G20" s="3"/>
      <c r="H20" s="3"/>
    </row>
    <row r="21" spans="1:12" ht="17.25" customHeight="1">
      <c r="A21" s="23"/>
      <c r="B21" s="37"/>
      <c r="C21" s="2768" t="str">
        <f>O67</f>
        <v>事務所,</v>
      </c>
      <c r="D21" s="2769"/>
      <c r="E21" s="2770"/>
      <c r="F21" s="27"/>
      <c r="G21" s="3"/>
      <c r="H21" s="3"/>
    </row>
    <row r="22" spans="1:12" ht="17.25" customHeight="1">
      <c r="A22" s="23"/>
      <c r="B22" s="28" t="s">
        <v>338</v>
      </c>
      <c r="C22" s="25" t="s">
        <v>339</v>
      </c>
      <c r="D22" s="26"/>
      <c r="E22" s="26"/>
      <c r="F22" s="27"/>
      <c r="G22" s="3"/>
      <c r="H22" s="3"/>
    </row>
    <row r="23" spans="1:12" ht="17.25" customHeight="1">
      <c r="A23" s="23"/>
      <c r="B23" s="28" t="s">
        <v>847</v>
      </c>
      <c r="C23" s="25" t="s">
        <v>848</v>
      </c>
      <c r="D23" s="26"/>
      <c r="E23" s="26"/>
      <c r="F23" s="27"/>
      <c r="G23" s="3"/>
      <c r="H23" s="3"/>
      <c r="I23" t="s">
        <v>849</v>
      </c>
      <c r="J23" t="s">
        <v>848</v>
      </c>
      <c r="K23" t="s">
        <v>850</v>
      </c>
      <c r="L23" t="s">
        <v>851</v>
      </c>
    </row>
    <row r="24" spans="1:12" ht="17.25" customHeight="1">
      <c r="A24" s="23"/>
      <c r="B24" s="28" t="s">
        <v>852</v>
      </c>
      <c r="C24" s="38" t="s">
        <v>759</v>
      </c>
      <c r="D24" s="35" t="s">
        <v>853</v>
      </c>
      <c r="E24" s="35"/>
      <c r="F24" s="27"/>
      <c r="G24" s="3"/>
      <c r="H24" s="3"/>
      <c r="I24" s="1">
        <f>IF(OR(C23=I23,C23=L23),1,IF(C23=J23,2,3))</f>
        <v>2</v>
      </c>
    </row>
    <row r="25" spans="1:12" ht="17.25" customHeight="1">
      <c r="A25" s="23"/>
      <c r="B25" s="28" t="s">
        <v>854</v>
      </c>
      <c r="C25" s="38" t="s">
        <v>760</v>
      </c>
      <c r="D25" s="35" t="s">
        <v>855</v>
      </c>
      <c r="E25" s="35"/>
      <c r="F25" s="27"/>
      <c r="G25" s="3"/>
      <c r="H25" s="3"/>
    </row>
    <row r="26" spans="1:12" ht="6.75" customHeight="1" thickBot="1">
      <c r="A26" s="23"/>
      <c r="B26" s="28"/>
      <c r="C26" s="39"/>
      <c r="D26" s="39"/>
      <c r="E26" s="39"/>
      <c r="F26" s="40"/>
      <c r="G26" s="3"/>
      <c r="H26" s="3"/>
    </row>
    <row r="27" spans="1:12" ht="14.25" hidden="1" thickBot="1">
      <c r="A27"/>
      <c r="B27"/>
      <c r="C27"/>
      <c r="D27"/>
      <c r="E27"/>
      <c r="F27"/>
      <c r="G27"/>
      <c r="H27"/>
    </row>
    <row r="28" spans="1:12" ht="14.25" hidden="1" thickBot="1">
      <c r="A28"/>
      <c r="B28"/>
      <c r="C28"/>
      <c r="D28"/>
      <c r="E28"/>
      <c r="F28"/>
      <c r="G28"/>
      <c r="H28"/>
    </row>
    <row r="29" spans="1:12" ht="14.25" hidden="1" thickBot="1">
      <c r="A29"/>
      <c r="B29"/>
      <c r="C29"/>
      <c r="D29"/>
      <c r="E29"/>
      <c r="F29"/>
      <c r="G29"/>
      <c r="H29"/>
    </row>
    <row r="30" spans="1:12" ht="14.25" hidden="1" thickBot="1">
      <c r="A30"/>
      <c r="B30"/>
      <c r="C30"/>
      <c r="D30"/>
      <c r="E30"/>
      <c r="F30"/>
      <c r="G30"/>
      <c r="H30"/>
    </row>
    <row r="31" spans="1:12" ht="14.25" hidden="1" thickBot="1">
      <c r="A31"/>
      <c r="B31"/>
      <c r="C31"/>
      <c r="D31"/>
      <c r="E31"/>
      <c r="F31"/>
      <c r="G31"/>
      <c r="H31"/>
    </row>
    <row r="32" spans="1:12" ht="14.25" hidden="1" thickBot="1">
      <c r="A32"/>
      <c r="B32"/>
      <c r="C32"/>
      <c r="D32"/>
      <c r="E32"/>
      <c r="F32"/>
      <c r="G32"/>
      <c r="H32"/>
    </row>
    <row r="33" spans="1:18" ht="14.25" hidden="1" thickBot="1">
      <c r="A33"/>
      <c r="B33"/>
      <c r="C33"/>
      <c r="D33"/>
      <c r="E33"/>
      <c r="F33"/>
      <c r="G33"/>
      <c r="H33"/>
    </row>
    <row r="34" spans="1:18" ht="14.25" hidden="1" thickBot="1">
      <c r="A34"/>
      <c r="B34"/>
      <c r="C34"/>
      <c r="D34"/>
      <c r="E34"/>
      <c r="F34"/>
      <c r="G34"/>
      <c r="H34"/>
    </row>
    <row r="35" spans="1:18" ht="14.25" hidden="1" thickBot="1">
      <c r="A35"/>
      <c r="B35"/>
      <c r="C35"/>
      <c r="D35"/>
      <c r="E35"/>
      <c r="F35"/>
      <c r="G35"/>
      <c r="H35"/>
    </row>
    <row r="36" spans="1:18" ht="14.25" hidden="1" thickBot="1">
      <c r="A36"/>
      <c r="B36"/>
      <c r="C36"/>
      <c r="D36"/>
      <c r="E36"/>
      <c r="F36"/>
      <c r="G36"/>
      <c r="H36"/>
    </row>
    <row r="37" spans="1:18" ht="14.25" hidden="1" thickBot="1">
      <c r="A37"/>
      <c r="B37"/>
      <c r="C37"/>
      <c r="D37"/>
      <c r="E37"/>
      <c r="F37"/>
      <c r="G37"/>
      <c r="H37"/>
    </row>
    <row r="38" spans="1:18" ht="17.25" customHeight="1" thickBot="1">
      <c r="A38" s="41"/>
      <c r="B38" s="42" t="s">
        <v>856</v>
      </c>
      <c r="C38" s="43"/>
      <c r="D38" s="43"/>
      <c r="E38" s="43"/>
      <c r="F38" s="44"/>
      <c r="G38" s="3"/>
      <c r="H38" s="3"/>
      <c r="I38" t="s">
        <v>857</v>
      </c>
      <c r="L38" s="1" t="s">
        <v>858</v>
      </c>
      <c r="M38" s="1" t="s">
        <v>859</v>
      </c>
    </row>
    <row r="39" spans="1:18" ht="16.5" customHeight="1">
      <c r="A39" s="41"/>
      <c r="B39" s="45" t="s">
        <v>860</v>
      </c>
      <c r="C39" s="46">
        <v>41828</v>
      </c>
      <c r="D39" s="26"/>
      <c r="E39" s="2382" t="s">
        <v>862</v>
      </c>
      <c r="F39" s="2381"/>
      <c r="G39" s="3"/>
      <c r="H39" s="3"/>
      <c r="I39" t="s">
        <v>862</v>
      </c>
      <c r="J39">
        <v>1</v>
      </c>
      <c r="L39" s="1" t="s">
        <v>862</v>
      </c>
      <c r="M39" s="1" t="s">
        <v>498</v>
      </c>
    </row>
    <row r="40" spans="1:18" ht="16.5" customHeight="1">
      <c r="A40" s="41"/>
      <c r="B40" s="45" t="s">
        <v>499</v>
      </c>
      <c r="C40" s="25" t="s">
        <v>500</v>
      </c>
      <c r="D40" s="26"/>
      <c r="E40" s="26"/>
      <c r="F40" s="27"/>
      <c r="G40" s="3"/>
      <c r="H40" s="3"/>
      <c r="I40" t="s">
        <v>861</v>
      </c>
      <c r="J40">
        <v>2</v>
      </c>
      <c r="L40" s="1" t="s">
        <v>861</v>
      </c>
      <c r="M40" s="1" t="s">
        <v>501</v>
      </c>
    </row>
    <row r="41" spans="1:18" ht="16.5" customHeight="1">
      <c r="A41" s="47"/>
      <c r="B41" s="45" t="s">
        <v>502</v>
      </c>
      <c r="C41" s="46">
        <v>41830</v>
      </c>
      <c r="D41" s="26"/>
      <c r="E41" s="26"/>
      <c r="F41" s="27"/>
      <c r="G41" s="3"/>
      <c r="H41" s="3"/>
      <c r="I41" t="s">
        <v>503</v>
      </c>
      <c r="J41">
        <v>2</v>
      </c>
      <c r="L41" s="1" t="s">
        <v>503</v>
      </c>
      <c r="M41" s="1"/>
    </row>
    <row r="42" spans="1:18" ht="16.5" customHeight="1">
      <c r="A42" s="47"/>
      <c r="B42" s="45" t="s">
        <v>504</v>
      </c>
      <c r="C42" s="25" t="s">
        <v>500</v>
      </c>
      <c r="D42" s="26"/>
      <c r="E42" s="26"/>
      <c r="F42" s="27"/>
      <c r="G42" s="3"/>
      <c r="H42" s="3"/>
      <c r="I42" s="1">
        <v>2</v>
      </c>
    </row>
    <row r="43" spans="1:18" ht="17.25" customHeight="1" thickBot="1">
      <c r="A43" s="47"/>
      <c r="B43" s="48" t="s">
        <v>505</v>
      </c>
      <c r="C43" s="49" t="s">
        <v>506</v>
      </c>
      <c r="D43" s="50" t="str">
        <f>IF(C43=I43,L43,L44)</f>
        <v>→LCCO2算定条件シート（標準計算）を入力</v>
      </c>
      <c r="E43" s="26"/>
      <c r="F43" s="51"/>
      <c r="G43" s="3"/>
      <c r="H43" s="3"/>
      <c r="I43" t="s">
        <v>506</v>
      </c>
      <c r="L43" t="s">
        <v>507</v>
      </c>
    </row>
    <row r="44" spans="1:18" ht="9.75" customHeight="1" thickBot="1">
      <c r="A44" s="52"/>
      <c r="B44" s="53"/>
      <c r="C44" s="53"/>
      <c r="D44" s="53"/>
      <c r="E44" s="53"/>
      <c r="F44" s="53"/>
      <c r="G44" s="3"/>
      <c r="H44" s="3"/>
      <c r="I44" t="s">
        <v>508</v>
      </c>
      <c r="L44" t="s">
        <v>509</v>
      </c>
    </row>
    <row r="45" spans="1:18" ht="13.5">
      <c r="A45" s="52"/>
      <c r="B45" s="54" t="s">
        <v>510</v>
      </c>
      <c r="C45" s="55"/>
      <c r="D45" s="55"/>
      <c r="E45" s="55"/>
      <c r="F45" s="56"/>
      <c r="G45" s="3"/>
      <c r="H45" s="3"/>
    </row>
    <row r="46" spans="1:18" ht="14.25" thickBot="1">
      <c r="A46" s="52"/>
      <c r="B46" s="20" t="s">
        <v>511</v>
      </c>
      <c r="C46" s="57"/>
      <c r="D46" s="58"/>
      <c r="E46" s="58"/>
      <c r="F46" s="59"/>
      <c r="G46" s="3"/>
      <c r="H46" s="3"/>
      <c r="J46" t="s">
        <v>761</v>
      </c>
      <c r="K46" t="s">
        <v>1475</v>
      </c>
      <c r="L46" t="s">
        <v>762</v>
      </c>
    </row>
    <row r="47" spans="1:18" ht="13.5">
      <c r="A47" s="52"/>
      <c r="B47" s="60" t="s">
        <v>763</v>
      </c>
      <c r="C47" s="36">
        <f>E47+E48</f>
        <v>3000</v>
      </c>
      <c r="D47" s="35" t="s">
        <v>2577</v>
      </c>
      <c r="E47" s="61">
        <v>3000</v>
      </c>
      <c r="F47" s="2381" t="s">
        <v>2562</v>
      </c>
      <c r="G47" s="3"/>
      <c r="H47" s="3"/>
      <c r="I47" t="s">
        <v>512</v>
      </c>
      <c r="J47">
        <f>C47</f>
        <v>3000</v>
      </c>
      <c r="K47">
        <f>J47/$J$66</f>
        <v>1</v>
      </c>
      <c r="N47">
        <f>IF(J47=0,0,RANK(J47,$J$47:$J$64))</f>
        <v>1</v>
      </c>
      <c r="O47" t="str">
        <f>IF(AND(0&lt;N47,N47&lt;4),I47&amp;",","")</f>
        <v>事務所,</v>
      </c>
      <c r="P47" s="2356" t="s">
        <v>1916</v>
      </c>
      <c r="Q47" s="2357" t="s">
        <v>512</v>
      </c>
      <c r="R47" s="2383">
        <f>E47</f>
        <v>3000</v>
      </c>
    </row>
    <row r="48" spans="1:18" ht="13.5">
      <c r="A48" s="52"/>
      <c r="B48" s="62"/>
      <c r="C48" s="35"/>
      <c r="D48" s="2380" t="s">
        <v>2569</v>
      </c>
      <c r="E48" s="61"/>
      <c r="F48" s="2381" t="s">
        <v>2573</v>
      </c>
      <c r="G48" s="3"/>
      <c r="H48" s="3"/>
      <c r="N48">
        <f t="shared" ref="N48:N64" si="0">IF(J48=0,0,RANK(J48,$J$47:$J$64))</f>
        <v>0</v>
      </c>
      <c r="O48" t="str">
        <f t="shared" ref="O48:O64" si="1">IF(AND(0&lt;N48,N48&lt;4),I48&amp;",","")</f>
        <v/>
      </c>
      <c r="P48" s="2358"/>
      <c r="Q48" s="2357" t="s">
        <v>2522</v>
      </c>
      <c r="R48" s="2383">
        <f t="shared" ref="R48:R59" si="2">E48</f>
        <v>0</v>
      </c>
    </row>
    <row r="49" spans="1:18" ht="13.5">
      <c r="A49" s="52"/>
      <c r="B49" s="62" t="s">
        <v>513</v>
      </c>
      <c r="C49" s="36">
        <f>SUM(E49:E53)</f>
        <v>0</v>
      </c>
      <c r="D49" s="35" t="s">
        <v>2576</v>
      </c>
      <c r="E49" s="61"/>
      <c r="F49" s="2381" t="s">
        <v>2573</v>
      </c>
      <c r="G49" s="3"/>
      <c r="H49" s="3"/>
      <c r="I49" t="s">
        <v>514</v>
      </c>
      <c r="J49" s="2477">
        <f>C49</f>
        <v>0</v>
      </c>
      <c r="K49">
        <f>J49/$J$66</f>
        <v>0</v>
      </c>
      <c r="N49">
        <f t="shared" si="0"/>
        <v>0</v>
      </c>
      <c r="O49" t="str">
        <f t="shared" si="1"/>
        <v/>
      </c>
      <c r="P49" s="2360" t="s">
        <v>2526</v>
      </c>
      <c r="Q49" s="2357" t="s">
        <v>2527</v>
      </c>
      <c r="R49" s="2383">
        <f t="shared" si="2"/>
        <v>0</v>
      </c>
    </row>
    <row r="50" spans="1:18" ht="13.5">
      <c r="A50" s="52"/>
      <c r="B50" s="62"/>
      <c r="C50" s="35"/>
      <c r="D50" s="2380" t="s">
        <v>2566</v>
      </c>
      <c r="E50" s="61"/>
      <c r="F50" s="2381" t="s">
        <v>2573</v>
      </c>
      <c r="G50" s="3"/>
      <c r="H50" s="3"/>
      <c r="J50" s="2478"/>
      <c r="N50">
        <f t="shared" si="0"/>
        <v>0</v>
      </c>
      <c r="O50" t="str">
        <f t="shared" si="1"/>
        <v/>
      </c>
      <c r="P50" s="2360"/>
      <c r="Q50" s="2357" t="s">
        <v>1463</v>
      </c>
      <c r="R50" s="2383">
        <f t="shared" si="2"/>
        <v>0</v>
      </c>
    </row>
    <row r="51" spans="1:18" ht="13.5">
      <c r="A51" s="52"/>
      <c r="B51" s="62"/>
      <c r="C51" s="35"/>
      <c r="D51" s="2380" t="s">
        <v>2574</v>
      </c>
      <c r="E51" s="61"/>
      <c r="F51" s="2381" t="s">
        <v>2573</v>
      </c>
      <c r="G51" s="3"/>
      <c r="H51" s="3"/>
      <c r="N51">
        <f t="shared" si="0"/>
        <v>0</v>
      </c>
      <c r="O51" t="str">
        <f t="shared" si="1"/>
        <v/>
      </c>
      <c r="P51" s="2360"/>
      <c r="Q51" s="2357" t="s">
        <v>1464</v>
      </c>
      <c r="R51" s="2383">
        <f t="shared" si="2"/>
        <v>0</v>
      </c>
    </row>
    <row r="52" spans="1:18" ht="13.5">
      <c r="A52" s="52"/>
      <c r="B52" s="62"/>
      <c r="C52" s="35"/>
      <c r="D52" s="2380" t="s">
        <v>2567</v>
      </c>
      <c r="E52" s="61"/>
      <c r="F52" s="2381" t="s">
        <v>2573</v>
      </c>
      <c r="G52" s="3"/>
      <c r="H52" s="3"/>
      <c r="N52">
        <f t="shared" si="0"/>
        <v>0</v>
      </c>
      <c r="O52" t="str">
        <f t="shared" si="1"/>
        <v/>
      </c>
      <c r="P52" s="2360"/>
      <c r="Q52" s="2357" t="s">
        <v>2530</v>
      </c>
      <c r="R52" s="2383">
        <f t="shared" si="2"/>
        <v>0</v>
      </c>
    </row>
    <row r="53" spans="1:18" ht="13.5">
      <c r="A53" s="52"/>
      <c r="B53" s="62"/>
      <c r="C53" s="35"/>
      <c r="D53" s="2380" t="s">
        <v>2568</v>
      </c>
      <c r="E53" s="61"/>
      <c r="F53" s="2381" t="s">
        <v>2573</v>
      </c>
      <c r="G53" s="3"/>
      <c r="H53" s="3"/>
      <c r="N53">
        <f t="shared" si="0"/>
        <v>0</v>
      </c>
      <c r="O53" t="str">
        <f t="shared" si="1"/>
        <v/>
      </c>
      <c r="P53" s="2358"/>
      <c r="Q53" s="2357" t="s">
        <v>2531</v>
      </c>
      <c r="R53" s="2383">
        <f t="shared" si="2"/>
        <v>0</v>
      </c>
    </row>
    <row r="54" spans="1:18" ht="13.5">
      <c r="A54" s="52"/>
      <c r="B54" s="62" t="s">
        <v>515</v>
      </c>
      <c r="C54" s="36">
        <f>E54+E55</f>
        <v>0</v>
      </c>
      <c r="D54" s="35" t="s">
        <v>2578</v>
      </c>
      <c r="E54" s="61"/>
      <c r="F54" s="2381" t="s">
        <v>2573</v>
      </c>
      <c r="G54" s="3"/>
      <c r="H54" s="3"/>
      <c r="I54" t="s">
        <v>516</v>
      </c>
      <c r="J54" s="2477">
        <f>C54</f>
        <v>0</v>
      </c>
      <c r="K54">
        <f>J54/$J$66</f>
        <v>0</v>
      </c>
      <c r="N54">
        <f t="shared" si="0"/>
        <v>0</v>
      </c>
      <c r="O54" t="str">
        <f t="shared" si="1"/>
        <v/>
      </c>
      <c r="P54" s="2356" t="s">
        <v>2523</v>
      </c>
      <c r="Q54" s="2357" t="s">
        <v>2127</v>
      </c>
      <c r="R54" s="2383">
        <f t="shared" si="2"/>
        <v>0</v>
      </c>
    </row>
    <row r="55" spans="1:18" ht="13.5">
      <c r="A55" s="52"/>
      <c r="B55" s="62"/>
      <c r="C55" s="35"/>
      <c r="D55" s="2380" t="s">
        <v>2570</v>
      </c>
      <c r="E55" s="61"/>
      <c r="F55" s="2381" t="s">
        <v>2573</v>
      </c>
      <c r="G55" s="3"/>
      <c r="H55" s="3"/>
      <c r="N55">
        <f t="shared" si="0"/>
        <v>0</v>
      </c>
      <c r="O55" t="str">
        <f t="shared" si="1"/>
        <v/>
      </c>
      <c r="P55" s="2358"/>
      <c r="Q55" s="2357" t="s">
        <v>2524</v>
      </c>
      <c r="R55" s="2383">
        <f t="shared" si="2"/>
        <v>0</v>
      </c>
    </row>
    <row r="56" spans="1:18" ht="13.5">
      <c r="A56" s="52"/>
      <c r="B56" s="62" t="s">
        <v>517</v>
      </c>
      <c r="C56" s="61"/>
      <c r="D56" s="35" t="s">
        <v>764</v>
      </c>
      <c r="E56" s="35"/>
      <c r="F56" s="2381"/>
      <c r="G56" s="3"/>
      <c r="H56" s="3"/>
      <c r="I56" t="s">
        <v>518</v>
      </c>
      <c r="J56" s="2478">
        <f>C56</f>
        <v>0</v>
      </c>
      <c r="K56">
        <f>J56/$J$66</f>
        <v>0</v>
      </c>
      <c r="N56">
        <f t="shared" si="0"/>
        <v>0</v>
      </c>
      <c r="O56" t="str">
        <f t="shared" si="1"/>
        <v/>
      </c>
      <c r="P56" s="2357" t="s">
        <v>518</v>
      </c>
      <c r="Q56" s="2359"/>
      <c r="R56" s="2383">
        <f>C56</f>
        <v>0</v>
      </c>
    </row>
    <row r="57" spans="1:18" ht="13.5">
      <c r="A57" s="52"/>
      <c r="B57" s="62" t="s">
        <v>519</v>
      </c>
      <c r="C57" s="36">
        <f>E57+E58+E59</f>
        <v>0</v>
      </c>
      <c r="D57" s="35" t="s">
        <v>2579</v>
      </c>
      <c r="E57" s="61"/>
      <c r="F57" s="2381" t="s">
        <v>2573</v>
      </c>
      <c r="G57" s="3"/>
      <c r="H57" s="3"/>
      <c r="I57" t="s">
        <v>520</v>
      </c>
      <c r="J57">
        <f>C57</f>
        <v>0</v>
      </c>
      <c r="K57">
        <f>J57/$J$66</f>
        <v>0</v>
      </c>
      <c r="N57">
        <f t="shared" si="0"/>
        <v>0</v>
      </c>
      <c r="O57" t="str">
        <f t="shared" si="1"/>
        <v/>
      </c>
      <c r="P57" s="2356" t="s">
        <v>2532</v>
      </c>
      <c r="Q57" s="2357" t="s">
        <v>2533</v>
      </c>
      <c r="R57" s="2383">
        <f t="shared" si="2"/>
        <v>0</v>
      </c>
    </row>
    <row r="58" spans="1:18" ht="13.5">
      <c r="A58" s="52"/>
      <c r="B58" s="62"/>
      <c r="C58" s="35"/>
      <c r="D58" s="2380" t="s">
        <v>2571</v>
      </c>
      <c r="E58" s="61"/>
      <c r="F58" s="2381" t="s">
        <v>2573</v>
      </c>
      <c r="G58" s="3"/>
      <c r="H58" s="3"/>
      <c r="N58">
        <f t="shared" si="0"/>
        <v>0</v>
      </c>
      <c r="O58" t="str">
        <f t="shared" si="1"/>
        <v/>
      </c>
      <c r="P58" s="2360"/>
      <c r="Q58" s="2357" t="s">
        <v>2534</v>
      </c>
      <c r="R58" s="2383">
        <f t="shared" si="2"/>
        <v>0</v>
      </c>
    </row>
    <row r="59" spans="1:18" ht="13.5">
      <c r="A59" s="52"/>
      <c r="B59" s="62"/>
      <c r="C59" s="35"/>
      <c r="D59" s="2380" t="s">
        <v>2572</v>
      </c>
      <c r="E59" s="61"/>
      <c r="F59" s="2381" t="s">
        <v>2573</v>
      </c>
      <c r="G59" s="3"/>
      <c r="H59" s="3"/>
      <c r="N59">
        <f t="shared" si="0"/>
        <v>0</v>
      </c>
      <c r="O59" t="str">
        <f t="shared" si="1"/>
        <v/>
      </c>
      <c r="P59" s="2360"/>
      <c r="Q59" s="2354" t="s">
        <v>2535</v>
      </c>
      <c r="R59" s="2383">
        <f t="shared" si="2"/>
        <v>0</v>
      </c>
    </row>
    <row r="60" spans="1:18" ht="13.5">
      <c r="A60" s="52"/>
      <c r="B60" s="62" t="s">
        <v>521</v>
      </c>
      <c r="C60" s="61"/>
      <c r="D60" s="35" t="s">
        <v>764</v>
      </c>
      <c r="E60" s="35"/>
      <c r="F60" s="2381"/>
      <c r="G60" s="3"/>
      <c r="H60" s="3"/>
      <c r="I60" t="s">
        <v>528</v>
      </c>
      <c r="J60">
        <f>C60</f>
        <v>0</v>
      </c>
      <c r="K60">
        <f>J60/$J$66</f>
        <v>0</v>
      </c>
      <c r="N60">
        <f t="shared" si="0"/>
        <v>0</v>
      </c>
      <c r="O60" t="str">
        <f t="shared" si="1"/>
        <v/>
      </c>
      <c r="P60" s="2357" t="s">
        <v>528</v>
      </c>
      <c r="Q60" s="2359"/>
      <c r="R60" s="2383">
        <f>C60</f>
        <v>0</v>
      </c>
    </row>
    <row r="61" spans="1:18" ht="13.5">
      <c r="A61" s="52"/>
      <c r="B61" s="62" t="s">
        <v>523</v>
      </c>
      <c r="C61" s="61"/>
      <c r="D61" s="35" t="s">
        <v>764</v>
      </c>
      <c r="E61" s="35"/>
      <c r="F61" s="2381"/>
      <c r="G61" s="3"/>
      <c r="H61" s="3"/>
      <c r="I61" t="s">
        <v>522</v>
      </c>
      <c r="J61">
        <f>C61</f>
        <v>0</v>
      </c>
      <c r="K61">
        <f>J61/$J$66</f>
        <v>0</v>
      </c>
      <c r="L61">
        <f>J61*F68</f>
        <v>0</v>
      </c>
      <c r="N61">
        <f t="shared" si="0"/>
        <v>0</v>
      </c>
      <c r="O61" t="str">
        <f t="shared" si="1"/>
        <v/>
      </c>
      <c r="P61" s="2357" t="s">
        <v>522</v>
      </c>
      <c r="Q61" s="2359"/>
      <c r="R61" s="2383">
        <f>C61</f>
        <v>0</v>
      </c>
    </row>
    <row r="62" spans="1:18" ht="13.5">
      <c r="A62" s="52"/>
      <c r="B62" s="62" t="s">
        <v>525</v>
      </c>
      <c r="C62" s="61"/>
      <c r="D62" s="35" t="s">
        <v>764</v>
      </c>
      <c r="E62" s="35"/>
      <c r="F62" s="2381"/>
      <c r="G62" s="3"/>
      <c r="H62" s="3"/>
      <c r="I62" t="s">
        <v>765</v>
      </c>
      <c r="J62">
        <f>C62</f>
        <v>0</v>
      </c>
      <c r="K62">
        <f>J62/$J$66</f>
        <v>0</v>
      </c>
      <c r="L62">
        <f>J62*F69</f>
        <v>0</v>
      </c>
      <c r="N62">
        <f t="shared" si="0"/>
        <v>0</v>
      </c>
      <c r="O62" t="str">
        <f t="shared" si="1"/>
        <v/>
      </c>
      <c r="P62" s="2357" t="s">
        <v>2525</v>
      </c>
      <c r="Q62" s="2359"/>
      <c r="R62" s="2383">
        <f>C62</f>
        <v>0</v>
      </c>
    </row>
    <row r="63" spans="1:18" ht="13.5">
      <c r="A63" s="52"/>
      <c r="B63" s="62" t="s">
        <v>2232</v>
      </c>
      <c r="C63" s="36">
        <f>SUM(C47:C62)</f>
        <v>3000</v>
      </c>
      <c r="D63" s="35" t="s">
        <v>764</v>
      </c>
      <c r="E63" s="35"/>
      <c r="F63" s="2381"/>
      <c r="G63" s="3"/>
      <c r="H63" s="3"/>
      <c r="N63">
        <f t="shared" si="0"/>
        <v>0</v>
      </c>
      <c r="O63" t="str">
        <f t="shared" si="1"/>
        <v/>
      </c>
      <c r="P63" s="2374"/>
      <c r="Q63" s="2355"/>
    </row>
    <row r="64" spans="1:18" ht="13.5">
      <c r="A64" s="52"/>
      <c r="B64" s="63" t="s">
        <v>527</v>
      </c>
      <c r="C64" s="36">
        <f>E64+E65</f>
        <v>0</v>
      </c>
      <c r="D64" s="35" t="s">
        <v>2580</v>
      </c>
      <c r="E64" s="61"/>
      <c r="F64" s="2381" t="s">
        <v>2573</v>
      </c>
      <c r="G64" s="3"/>
      <c r="H64" s="3"/>
      <c r="I64" t="s">
        <v>526</v>
      </c>
      <c r="J64">
        <f>C64</f>
        <v>0</v>
      </c>
      <c r="K64">
        <f>J64/$J$66</f>
        <v>0</v>
      </c>
      <c r="L64" s="2478">
        <f>E64</f>
        <v>0</v>
      </c>
      <c r="N64">
        <f t="shared" si="0"/>
        <v>0</v>
      </c>
      <c r="O64" t="str">
        <f t="shared" si="1"/>
        <v/>
      </c>
      <c r="P64" s="2" t="s">
        <v>2269</v>
      </c>
      <c r="Q64" s="2361" t="s">
        <v>2556</v>
      </c>
      <c r="R64" s="2383">
        <f>E64</f>
        <v>0</v>
      </c>
    </row>
    <row r="65" spans="1:18" ht="13.5">
      <c r="A65" s="52"/>
      <c r="B65" s="2290"/>
      <c r="C65" s="35"/>
      <c r="D65" s="2380" t="s">
        <v>2575</v>
      </c>
      <c r="E65" s="61"/>
      <c r="F65" s="2381" t="s">
        <v>2573</v>
      </c>
      <c r="G65" s="3"/>
      <c r="H65" s="3"/>
      <c r="P65" s="2362"/>
      <c r="Q65" s="2363" t="s">
        <v>534</v>
      </c>
      <c r="R65" s="2383">
        <f>E65</f>
        <v>0</v>
      </c>
    </row>
    <row r="66" spans="1:18" ht="13.5">
      <c r="A66" s="52"/>
      <c r="B66" s="2290"/>
      <c r="C66" s="35"/>
      <c r="D66" s="35"/>
      <c r="E66" s="35"/>
      <c r="F66" s="27"/>
      <c r="G66" s="3"/>
      <c r="H66" s="3"/>
      <c r="I66" t="s">
        <v>530</v>
      </c>
      <c r="J66">
        <f>SUM(J47:J64)</f>
        <v>3000</v>
      </c>
      <c r="K66">
        <f>J66/$J$66</f>
        <v>1</v>
      </c>
      <c r="L66">
        <f>SUM(L47:L64)</f>
        <v>0</v>
      </c>
      <c r="O66" t="str">
        <f>IF(MAX(N47:N63)&gt;3,"等","")</f>
        <v/>
      </c>
    </row>
    <row r="67" spans="1:18" ht="13.5">
      <c r="A67" s="52"/>
      <c r="B67" s="20" t="s">
        <v>529</v>
      </c>
      <c r="C67" s="57"/>
      <c r="D67" s="2376"/>
      <c r="E67" s="58"/>
      <c r="F67" s="59"/>
      <c r="G67" s="3"/>
      <c r="H67" s="3"/>
      <c r="O67" t="str">
        <f>O47&amp;O49&amp;O54&amp;O56&amp;O57&amp;O61&amp;O62&amp;O64&amp;O60&amp;O66</f>
        <v>事務所,</v>
      </c>
    </row>
    <row r="68" spans="1:18" ht="13.5">
      <c r="A68" s="52"/>
      <c r="B68" s="63" t="s">
        <v>1914</v>
      </c>
      <c r="C68" s="64"/>
      <c r="D68" s="64"/>
      <c r="E68" s="64"/>
      <c r="F68" s="65"/>
      <c r="G68" s="3"/>
      <c r="H68" s="3"/>
    </row>
    <row r="69" spans="1:18" ht="13.5">
      <c r="A69" s="52"/>
      <c r="B69" s="63" t="s">
        <v>1915</v>
      </c>
      <c r="C69" s="64"/>
      <c r="D69" s="64"/>
      <c r="E69" s="64"/>
      <c r="F69" s="65"/>
      <c r="G69" s="3"/>
      <c r="H69" s="3"/>
    </row>
    <row r="70" spans="1:18" ht="13.5">
      <c r="A70" s="52"/>
      <c r="B70" s="63" t="s">
        <v>2722</v>
      </c>
      <c r="C70" s="2289"/>
      <c r="D70" s="2289"/>
      <c r="E70" s="2289"/>
      <c r="F70" s="2291">
        <f>IF(C64=0,0,E64/C64)</f>
        <v>0</v>
      </c>
      <c r="G70" s="3"/>
      <c r="H70" s="3"/>
    </row>
    <row r="71" spans="1:18" ht="14.25" thickBot="1">
      <c r="A71" s="64"/>
      <c r="B71" s="66"/>
      <c r="C71" s="67"/>
      <c r="D71" s="67"/>
      <c r="E71" s="67"/>
      <c r="F71" s="68"/>
      <c r="G71" s="64"/>
      <c r="H71" s="64"/>
    </row>
    <row r="72" spans="1:18" ht="14.25" thickBot="1">
      <c r="A72" s="64"/>
      <c r="B72" s="64"/>
      <c r="C72" s="64"/>
      <c r="D72" s="64"/>
      <c r="E72" s="64"/>
      <c r="F72" s="64"/>
      <c r="G72" s="64"/>
      <c r="H72" s="64"/>
    </row>
    <row r="73" spans="1:18" ht="14.25" thickBot="1">
      <c r="A73" s="52"/>
      <c r="B73" s="69" t="s">
        <v>2131</v>
      </c>
      <c r="C73" s="70"/>
      <c r="D73" s="70"/>
      <c r="E73" s="71"/>
      <c r="F73" s="72"/>
      <c r="G73" s="3"/>
      <c r="H73" s="3"/>
    </row>
    <row r="74" spans="1:18" ht="14.25" thickBot="1">
      <c r="A74" s="52"/>
      <c r="B74" s="73" t="s">
        <v>2132</v>
      </c>
      <c r="C74" s="74" t="s">
        <v>2133</v>
      </c>
      <c r="D74" s="2377"/>
      <c r="E74" s="75"/>
      <c r="F74" s="76"/>
      <c r="G74" s="3"/>
      <c r="H74" s="3"/>
    </row>
    <row r="75" spans="1:18" ht="13.5">
      <c r="A75" s="52"/>
      <c r="B75" s="77" t="s">
        <v>2134</v>
      </c>
      <c r="C75" s="78" t="s">
        <v>2135</v>
      </c>
      <c r="D75" s="79"/>
      <c r="E75" s="79" t="s">
        <v>2136</v>
      </c>
      <c r="F75" s="80"/>
      <c r="G75" s="3"/>
      <c r="H75" s="3"/>
    </row>
    <row r="76" spans="1:18" ht="14.25" thickBot="1">
      <c r="A76" s="23"/>
      <c r="B76" s="73" t="s">
        <v>2137</v>
      </c>
      <c r="C76" s="81" t="s">
        <v>370</v>
      </c>
      <c r="D76" s="82"/>
      <c r="E76" s="82" t="s">
        <v>371</v>
      </c>
      <c r="F76" s="83"/>
      <c r="G76" s="3"/>
      <c r="H76" s="3"/>
    </row>
    <row r="77" spans="1:18" ht="13.5">
      <c r="A77" s="52"/>
      <c r="B77" s="52"/>
      <c r="C77" s="52"/>
      <c r="D77" s="52"/>
      <c r="E77" s="52"/>
      <c r="F77" s="52"/>
      <c r="G77" s="3"/>
      <c r="H77" s="3"/>
    </row>
    <row r="78" spans="1:18" ht="13.5">
      <c r="A78" s="23"/>
      <c r="B78" s="84" t="s">
        <v>372</v>
      </c>
      <c r="C78" s="85" t="s">
        <v>373</v>
      </c>
      <c r="D78" s="2378"/>
      <c r="E78" s="86"/>
      <c r="F78" s="87"/>
      <c r="G78" s="3"/>
      <c r="H78" s="3"/>
    </row>
    <row r="79" spans="1:18" ht="13.5">
      <c r="A79" s="23"/>
      <c r="B79" s="88" t="s">
        <v>374</v>
      </c>
      <c r="C79" s="89" t="s">
        <v>375</v>
      </c>
      <c r="D79" s="90"/>
      <c r="E79" s="90"/>
      <c r="F79" s="91"/>
      <c r="G79" s="92"/>
      <c r="H79" s="92"/>
    </row>
    <row r="80" spans="1:18" ht="13.5">
      <c r="A80" s="23"/>
      <c r="B80" s="93" t="s">
        <v>513</v>
      </c>
      <c r="C80" s="94" t="s">
        <v>1868</v>
      </c>
      <c r="D80" s="95"/>
      <c r="E80" s="95"/>
      <c r="F80" s="96"/>
      <c r="G80" s="92"/>
      <c r="H80" s="92"/>
    </row>
    <row r="81" spans="1:8" ht="13.5">
      <c r="A81" s="23"/>
      <c r="B81" s="93" t="s">
        <v>515</v>
      </c>
      <c r="C81" s="94" t="s">
        <v>2939</v>
      </c>
      <c r="D81" s="95"/>
      <c r="E81" s="95"/>
      <c r="F81" s="96"/>
      <c r="G81" s="92"/>
      <c r="H81" s="92"/>
    </row>
    <row r="82" spans="1:8" ht="13.5">
      <c r="A82" s="23"/>
      <c r="B82" s="93" t="s">
        <v>517</v>
      </c>
      <c r="C82" s="94" t="s">
        <v>1544</v>
      </c>
      <c r="D82" s="95"/>
      <c r="E82" s="95"/>
      <c r="F82" s="96"/>
      <c r="G82" s="92"/>
      <c r="H82" s="92"/>
    </row>
    <row r="83" spans="1:8" ht="13.5">
      <c r="A83" s="23"/>
      <c r="B83" s="93" t="s">
        <v>519</v>
      </c>
      <c r="C83" s="94" t="s">
        <v>1545</v>
      </c>
      <c r="D83" s="95"/>
      <c r="E83" s="95"/>
      <c r="F83" s="96"/>
      <c r="G83" s="92"/>
      <c r="H83" s="92"/>
    </row>
    <row r="84" spans="1:8" ht="13.5">
      <c r="A84" s="23"/>
      <c r="B84" s="93" t="s">
        <v>521</v>
      </c>
      <c r="C84" s="94" t="s">
        <v>1546</v>
      </c>
      <c r="D84" s="95"/>
      <c r="E84" s="97"/>
      <c r="F84" s="96"/>
      <c r="G84" s="92"/>
      <c r="H84" s="92"/>
    </row>
    <row r="85" spans="1:8" ht="13.5">
      <c r="A85" s="23"/>
      <c r="B85" s="93" t="s">
        <v>523</v>
      </c>
      <c r="C85" s="94" t="s">
        <v>1547</v>
      </c>
      <c r="D85" s="95"/>
      <c r="E85" s="95"/>
      <c r="F85" s="96"/>
      <c r="G85" s="92"/>
      <c r="H85" s="92"/>
    </row>
    <row r="86" spans="1:8" ht="13.5">
      <c r="A86" s="23"/>
      <c r="B86" s="93" t="s">
        <v>525</v>
      </c>
      <c r="C86" s="94" t="s">
        <v>1548</v>
      </c>
      <c r="D86" s="95"/>
      <c r="E86" s="95"/>
      <c r="F86" s="96"/>
      <c r="G86" s="92"/>
      <c r="H86" s="92"/>
    </row>
    <row r="87" spans="1:8" ht="13.5">
      <c r="A87" s="23"/>
      <c r="B87" s="98" t="s">
        <v>527</v>
      </c>
      <c r="C87" s="99" t="s">
        <v>766</v>
      </c>
      <c r="D87" s="2379"/>
      <c r="E87" s="100"/>
      <c r="F87" s="101"/>
      <c r="G87" s="92"/>
      <c r="H87" s="92"/>
    </row>
    <row r="88" spans="1:8" ht="13.5">
      <c r="A88" s="23"/>
      <c r="B88" s="23"/>
      <c r="C88" s="23"/>
      <c r="D88" s="23"/>
      <c r="E88" s="23"/>
      <c r="F88" s="23"/>
      <c r="G88" s="23"/>
      <c r="H88" s="23"/>
    </row>
    <row r="89" spans="1:8" ht="14.25" hidden="1" customHeight="1"/>
    <row r="90" spans="1:8" ht="13.5" hidden="1"/>
    <row r="91" spans="1:8" ht="13.5" hidden="1"/>
    <row r="92" spans="1:8" ht="13.5" hidden="1"/>
    <row r="93" spans="1:8" ht="13.5" hidden="1"/>
    <row r="94" spans="1:8" ht="13.5" hidden="1"/>
    <row r="95" spans="1:8" ht="13.5" hidden="1"/>
    <row r="96" spans="1:8" ht="13.5" hidden="1"/>
    <row r="97" ht="13.5" hidden="1"/>
    <row r="98" ht="13.5" hidden="1"/>
    <row r="99" ht="13.5" hidden="1"/>
    <row r="100" ht="13.5" hidden="1"/>
    <row r="101" ht="13.5" hidden="1"/>
    <row r="102" ht="13.5" hidden="1"/>
    <row r="103" ht="13.5" hidden="1"/>
    <row r="104" ht="13.5" hidden="1"/>
    <row r="105" ht="13.5" hidden="1"/>
    <row r="106" ht="13.5" hidden="1"/>
    <row r="107" ht="13.5" hidden="1"/>
  </sheetData>
  <sheetProtection password="9DA9" sheet="1" objects="1" scenarios="1"/>
  <mergeCells count="5">
    <mergeCell ref="C12:E12"/>
    <mergeCell ref="C14:E14"/>
    <mergeCell ref="C20:E20"/>
    <mergeCell ref="C21:E21"/>
    <mergeCell ref="C11:D11"/>
  </mergeCells>
  <phoneticPr fontId="21"/>
  <conditionalFormatting sqref="E39 F15:F16 C20:E20 C22:C25 C56 F12:F13 D12:E14 C39:C40 C11:C18 E47:E55 E64:E65 E57:E59 C60:C62">
    <cfRule type="cellIs" dxfId="140" priority="1" stopIfTrue="1" operator="equal">
      <formula>0</formula>
    </cfRule>
  </conditionalFormatting>
  <conditionalFormatting sqref="F69">
    <cfRule type="expression" dxfId="139" priority="2" stopIfTrue="1">
      <formula>AND($C$62&gt;0,F69=0)</formula>
    </cfRule>
  </conditionalFormatting>
  <conditionalFormatting sqref="F68">
    <cfRule type="expression" dxfId="138" priority="3" stopIfTrue="1">
      <formula>AND($C$61&gt;0,F68=0)</formula>
    </cfRule>
  </conditionalFormatting>
  <dataValidations count="7">
    <dataValidation type="list" allowBlank="1" showInputMessage="1" showErrorMessage="1" sqref="E39">
      <formula1>$I$39:$I$41</formula1>
    </dataValidation>
    <dataValidation type="list" allowBlank="1" showInputMessage="1" showErrorMessage="1" sqref="F13">
      <formula1>$I$5:$I$10</formula1>
    </dataValidation>
    <dataValidation type="list" allowBlank="1" showInputMessage="1" showErrorMessage="1" sqref="F15:F16">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2">
      <formula1>$I$5:$I$12</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IV303"/>
  <sheetViews>
    <sheetView showGridLines="0" zoomScaleNormal="100" zoomScaleSheetLayoutView="100" workbookViewId="0"/>
  </sheetViews>
  <sheetFormatPr defaultColWidth="0" defaultRowHeight="13.5" zeroHeight="1"/>
  <cols>
    <col min="1" max="1" width="2.125" customWidth="1"/>
    <col min="2" max="2" width="2.125" hidden="1" customWidth="1"/>
    <col min="3" max="3" width="6" hidden="1" customWidth="1"/>
    <col min="4" max="4" width="5.25" style="2566" customWidth="1"/>
    <col min="5" max="5" width="1.75" style="2203" customWidth="1"/>
    <col min="6" max="6" width="11.625" style="2203" customWidth="1"/>
    <col min="7" max="14" width="12.625" style="2203" customWidth="1"/>
    <col min="15" max="15" width="12.75" style="2203" customWidth="1"/>
    <col min="16" max="16" width="1.625" customWidth="1"/>
    <col min="17" max="18" width="14.125" hidden="1" customWidth="1"/>
    <col min="19" max="19" width="3.375" hidden="1" customWidth="1"/>
    <col min="20" max="20" width="10.25" hidden="1" customWidth="1"/>
    <col min="21" max="35" width="11.375" hidden="1" customWidth="1"/>
    <col min="36" max="256" width="0" hidden="1" customWidth="1"/>
    <col min="257" max="16384" width="10.75" hidden="1"/>
  </cols>
  <sheetData>
    <row r="1" spans="2:21" ht="15.75">
      <c r="D1" s="1461"/>
      <c r="E1" s="1462"/>
      <c r="F1" s="1462"/>
      <c r="G1" s="1462"/>
      <c r="H1" s="1462"/>
      <c r="I1" s="1462"/>
      <c r="J1" s="1463"/>
      <c r="K1" s="1463"/>
      <c r="L1" s="1463"/>
      <c r="M1" s="1022" t="s">
        <v>2952</v>
      </c>
      <c r="N1" s="1023" t="str">
        <f>メイン!C11</f>
        <v>○○ビル</v>
      </c>
      <c r="O1" s="1024"/>
      <c r="R1" t="s">
        <v>1450</v>
      </c>
    </row>
    <row r="2" spans="2:21" ht="8.25" customHeight="1" thickBot="1">
      <c r="D2" s="1025"/>
      <c r="E2" s="577"/>
      <c r="F2" s="577"/>
      <c r="G2" s="577"/>
      <c r="H2" s="577"/>
      <c r="I2" s="577"/>
      <c r="J2" s="1026"/>
      <c r="K2" s="1026"/>
      <c r="L2" s="1026"/>
      <c r="M2" s="1026"/>
      <c r="N2" s="1026"/>
      <c r="O2" s="1026"/>
    </row>
    <row r="3" spans="2:21" ht="18.75" thickBot="1">
      <c r="D3" s="1535" t="s">
        <v>2414</v>
      </c>
      <c r="E3" s="577"/>
      <c r="F3" s="577"/>
      <c r="G3" s="577"/>
      <c r="H3" s="1028"/>
      <c r="I3" s="1029" t="s">
        <v>2827</v>
      </c>
      <c r="J3" s="1463"/>
      <c r="K3" s="1463"/>
      <c r="L3" s="1026"/>
      <c r="M3" s="1026"/>
      <c r="N3" s="1026"/>
      <c r="O3" s="1464" t="str">
        <f>IF(メイン!E39=0,"",メイン!E39)</f>
        <v>基本設計段階</v>
      </c>
      <c r="R3" t="s">
        <v>1480</v>
      </c>
      <c r="S3" t="s">
        <v>2118</v>
      </c>
      <c r="U3" t="str">
        <f>メイン!I39</f>
        <v>基本設計段階</v>
      </c>
    </row>
    <row r="4" spans="2:21" ht="6" customHeight="1">
      <c r="D4" s="1025"/>
      <c r="E4" s="577"/>
      <c r="F4" s="577"/>
      <c r="G4" s="577"/>
      <c r="H4" s="577"/>
      <c r="I4" s="577"/>
      <c r="J4" s="1026"/>
      <c r="K4" s="1026"/>
      <c r="L4" s="1026"/>
      <c r="M4" s="1030"/>
      <c r="N4" s="1026"/>
      <c r="O4" s="1026"/>
      <c r="T4" t="s">
        <v>2119</v>
      </c>
      <c r="U4" t="str">
        <f>メイン!I40</f>
        <v>実施設計段階</v>
      </c>
    </row>
    <row r="5" spans="2:21" ht="14.25" customHeight="1">
      <c r="D5" s="1025"/>
      <c r="E5" s="592"/>
      <c r="F5" s="592"/>
      <c r="G5" s="592"/>
      <c r="H5" s="592"/>
      <c r="I5" s="592"/>
      <c r="J5" s="1026"/>
      <c r="K5" s="1026"/>
      <c r="L5" s="1030"/>
      <c r="M5" s="1030"/>
      <c r="N5" s="1026"/>
      <c r="O5" s="1026"/>
      <c r="U5" t="str">
        <f>メイン!I41</f>
        <v>竣工段階</v>
      </c>
    </row>
    <row r="6" spans="2:21" ht="15.75">
      <c r="D6" s="1465">
        <v>1</v>
      </c>
      <c r="E6" s="1263" t="s">
        <v>2377</v>
      </c>
      <c r="F6" s="1263"/>
      <c r="G6" s="592"/>
      <c r="H6" s="592"/>
      <c r="I6" s="592"/>
      <c r="J6" s="1026"/>
      <c r="K6" s="1026"/>
      <c r="L6" s="1030"/>
      <c r="M6" s="1030"/>
      <c r="N6" s="1026"/>
      <c r="O6" s="1026"/>
    </row>
    <row r="7" spans="2:21" ht="14.25" hidden="1">
      <c r="B7" t="s">
        <v>1444</v>
      </c>
      <c r="D7" s="2564"/>
      <c r="E7" s="1466"/>
      <c r="F7" s="1185"/>
      <c r="G7" s="1043"/>
      <c r="H7" s="1044"/>
      <c r="I7" s="1045" t="s">
        <v>1484</v>
      </c>
      <c r="J7" s="1046">
        <f>重み!M110</f>
        <v>0.3</v>
      </c>
      <c r="K7" s="1186"/>
      <c r="L7" s="1186"/>
      <c r="M7" s="1186"/>
      <c r="N7" s="1186"/>
      <c r="O7" s="1188"/>
    </row>
    <row r="8" spans="2:21" ht="15" hidden="1" thickBot="1">
      <c r="B8" s="1332">
        <v>0</v>
      </c>
      <c r="D8" s="2564"/>
      <c r="E8" s="1466"/>
      <c r="F8" s="1049">
        <v>3</v>
      </c>
      <c r="G8" s="1054" t="s">
        <v>2125</v>
      </c>
      <c r="H8" s="1054"/>
      <c r="I8" s="1054"/>
      <c r="J8" s="1054"/>
      <c r="K8" s="1054"/>
      <c r="L8" s="1054"/>
      <c r="M8" s="1166"/>
      <c r="N8" s="1467"/>
      <c r="O8" s="1055"/>
    </row>
    <row r="9" spans="2:21" ht="14.25" hidden="1">
      <c r="B9" s="1" t="s">
        <v>1076</v>
      </c>
      <c r="C9" s="1">
        <v>1</v>
      </c>
      <c r="D9" s="2564"/>
      <c r="E9" s="1466"/>
      <c r="F9" s="1468"/>
      <c r="G9" s="1469" t="s">
        <v>1445</v>
      </c>
      <c r="H9" s="1469"/>
      <c r="I9" s="3181" t="s">
        <v>328</v>
      </c>
      <c r="J9" s="3182"/>
      <c r="K9" s="3181" t="s">
        <v>332</v>
      </c>
      <c r="L9" s="3182"/>
      <c r="M9" s="1470"/>
      <c r="N9" s="1471"/>
      <c r="O9" s="1422"/>
    </row>
    <row r="10" spans="2:21" ht="14.25" hidden="1">
      <c r="B10" s="1">
        <v>2</v>
      </c>
      <c r="C10" s="1">
        <v>3</v>
      </c>
      <c r="D10" s="2564"/>
      <c r="E10" s="1466"/>
      <c r="F10" s="1472" t="str">
        <f>IF(F8=$S$15,$T$10,IF(ROUNDDOWN(F8,0)=$S$10,$U$10,$T$10))</f>
        <v>　レベル　1</v>
      </c>
      <c r="G10" s="1065" t="s">
        <v>2365</v>
      </c>
      <c r="H10" s="1059"/>
      <c r="I10" s="1065" t="s">
        <v>2365</v>
      </c>
      <c r="J10" s="1059"/>
      <c r="K10" s="1065" t="s">
        <v>2365</v>
      </c>
      <c r="L10" s="1059"/>
      <c r="M10" s="2896"/>
      <c r="N10" s="3183"/>
      <c r="O10" s="3184"/>
      <c r="S10">
        <v>1</v>
      </c>
      <c r="T10" t="s">
        <v>2765</v>
      </c>
      <c r="U10" t="s">
        <v>1810</v>
      </c>
    </row>
    <row r="11" spans="2:21" ht="14.25" hidden="1">
      <c r="B11" s="1">
        <v>3</v>
      </c>
      <c r="C11" s="1">
        <v>3</v>
      </c>
      <c r="D11" s="2564"/>
      <c r="E11" s="1466"/>
      <c r="F11" s="1473" t="str">
        <f>IF(F8=$S$15,$T$11,IF(ROUNDDOWN(F8,0)=$S$11,$U$11,$T$11))</f>
        <v>　レベル　2</v>
      </c>
      <c r="G11" s="1065" t="s">
        <v>2415</v>
      </c>
      <c r="H11" s="1066"/>
      <c r="I11" s="1065" t="s">
        <v>2415</v>
      </c>
      <c r="J11" s="1066"/>
      <c r="K11" s="1065" t="s">
        <v>2415</v>
      </c>
      <c r="L11" s="1066"/>
      <c r="M11" s="2900"/>
      <c r="N11" s="3185"/>
      <c r="O11" s="3186"/>
      <c r="S11">
        <v>2</v>
      </c>
      <c r="T11" t="s">
        <v>1451</v>
      </c>
      <c r="U11" t="s">
        <v>1452</v>
      </c>
    </row>
    <row r="12" spans="2:21" ht="14.25" hidden="1">
      <c r="B12" s="1">
        <v>4</v>
      </c>
      <c r="C12" s="1">
        <v>4</v>
      </c>
      <c r="D12" s="2564"/>
      <c r="E12" s="1466"/>
      <c r="F12" s="1473" t="str">
        <f>IF(F8=$S$15,$T$12,IF(ROUNDDOWN(F8,0)=$S$12,$U$12,$T$12))</f>
        <v>■レベル　3</v>
      </c>
      <c r="G12" s="2900" t="s">
        <v>1446</v>
      </c>
      <c r="H12" s="3171"/>
      <c r="I12" s="2900" t="s">
        <v>1447</v>
      </c>
      <c r="J12" s="3171"/>
      <c r="K12" s="2900" t="s">
        <v>362</v>
      </c>
      <c r="L12" s="3171"/>
      <c r="M12" s="2900"/>
      <c r="N12" s="3185"/>
      <c r="O12" s="3186"/>
      <c r="S12">
        <v>3</v>
      </c>
      <c r="T12" t="s">
        <v>1457</v>
      </c>
      <c r="U12" t="s">
        <v>1458</v>
      </c>
    </row>
    <row r="13" spans="2:21" ht="14.25" hidden="1">
      <c r="B13" s="1">
        <v>5</v>
      </c>
      <c r="C13" s="1">
        <v>5</v>
      </c>
      <c r="D13" s="2564"/>
      <c r="E13" s="1466"/>
      <c r="F13" s="1473" t="str">
        <f>IF(F8=$S$15,$T$13,IF(ROUNDDOWN(F8,0)=$S$13,$U$13,$T$13))</f>
        <v>　レベル　4</v>
      </c>
      <c r="G13" s="2900" t="s">
        <v>363</v>
      </c>
      <c r="H13" s="3171"/>
      <c r="I13" s="2900" t="s">
        <v>1131</v>
      </c>
      <c r="J13" s="3171"/>
      <c r="K13" s="2900" t="s">
        <v>1132</v>
      </c>
      <c r="L13" s="3171"/>
      <c r="M13" s="2900"/>
      <c r="N13" s="2917"/>
      <c r="O13" s="2943"/>
      <c r="S13">
        <v>4</v>
      </c>
      <c r="T13" t="s">
        <v>1335</v>
      </c>
      <c r="U13" t="s">
        <v>1336</v>
      </c>
    </row>
    <row r="14" spans="2:21" ht="14.25" hidden="1">
      <c r="B14" s="1079">
        <v>0</v>
      </c>
      <c r="C14" s="1079">
        <v>0</v>
      </c>
      <c r="D14" s="2564"/>
      <c r="E14" s="1466"/>
      <c r="F14" s="1474" t="str">
        <f>IF(F8=$S$15,$T$14,IF(ROUNDDOWN(F8,0)=$S$14,$U$14,$T$14))</f>
        <v>　レベル　5</v>
      </c>
      <c r="G14" s="2900" t="s">
        <v>1133</v>
      </c>
      <c r="H14" s="3171"/>
      <c r="I14" s="2900" t="s">
        <v>1133</v>
      </c>
      <c r="J14" s="3171"/>
      <c r="K14" s="2900" t="s">
        <v>1134</v>
      </c>
      <c r="L14" s="3171"/>
      <c r="M14" s="2898"/>
      <c r="N14" s="3187"/>
      <c r="O14" s="3188"/>
      <c r="S14">
        <v>5</v>
      </c>
      <c r="T14" t="s">
        <v>1342</v>
      </c>
      <c r="U14" t="s">
        <v>1343</v>
      </c>
    </row>
    <row r="15" spans="2:21" ht="21.75" customHeight="1">
      <c r="D15" s="2564"/>
      <c r="E15" s="1466"/>
      <c r="F15" s="2340" t="s">
        <v>2834</v>
      </c>
      <c r="G15" s="2296"/>
      <c r="H15" s="1044"/>
      <c r="I15" s="1045" t="s">
        <v>1484</v>
      </c>
      <c r="J15" s="1046">
        <f>重み!M118</f>
        <v>0.2</v>
      </c>
      <c r="K15" s="1186"/>
      <c r="L15" s="1186"/>
      <c r="M15" s="1186"/>
      <c r="N15" s="1186"/>
      <c r="O15" s="1188"/>
      <c r="S15">
        <v>0</v>
      </c>
      <c r="T15" t="s">
        <v>1811</v>
      </c>
      <c r="U15" t="s">
        <v>1811</v>
      </c>
    </row>
    <row r="16" spans="2:21" ht="15">
      <c r="D16" s="2565"/>
      <c r="E16" s="1462"/>
      <c r="F16" s="3150">
        <f>IF(G32="ON",F32,ROUNDDOWN(計画書!I17,1))</f>
        <v>4</v>
      </c>
      <c r="G16" s="3155">
        <f>計画書!I12</f>
        <v>4</v>
      </c>
      <c r="H16" s="1054" t="s">
        <v>2416</v>
      </c>
      <c r="I16" s="1054"/>
      <c r="J16" s="1054"/>
      <c r="K16" s="1054"/>
      <c r="L16" s="1054"/>
      <c r="M16" s="1054"/>
      <c r="N16" s="1467"/>
      <c r="O16" s="1285">
        <f>メイン!J66-メイン!J60-K25</f>
        <v>3000</v>
      </c>
    </row>
    <row r="17" spans="4:256" ht="15" customHeight="1">
      <c r="D17" s="2565"/>
      <c r="E17" s="1462"/>
      <c r="F17" s="2915"/>
      <c r="G17" s="3156"/>
      <c r="H17" s="1481" t="s">
        <v>1186</v>
      </c>
      <c r="I17" s="1481"/>
      <c r="J17" s="1481"/>
      <c r="K17" s="1481"/>
      <c r="L17" s="1166" t="s">
        <v>1187</v>
      </c>
      <c r="M17" s="1054"/>
      <c r="N17" s="1054"/>
      <c r="O17" s="1055"/>
    </row>
    <row r="18" spans="4:256" ht="15.75" customHeight="1">
      <c r="D18" s="2565"/>
      <c r="E18" s="1462"/>
      <c r="F18" s="3151"/>
      <c r="G18" s="3157"/>
      <c r="H18" s="1481" t="s">
        <v>2718</v>
      </c>
      <c r="I18" s="1481"/>
      <c r="J18" s="1166" t="s">
        <v>79</v>
      </c>
      <c r="K18" s="1055"/>
      <c r="L18" s="1481" t="s">
        <v>2718</v>
      </c>
      <c r="M18" s="1481"/>
      <c r="N18" s="1166" t="s">
        <v>79</v>
      </c>
      <c r="O18" s="1055"/>
    </row>
    <row r="19" spans="4:256" ht="30.75" customHeight="1">
      <c r="D19" s="2565"/>
      <c r="E19" s="1462"/>
      <c r="F19" s="1472" t="str">
        <f>IF(F16=$S$15,$T$10,IF(ROUNDDOWN(F16,0)=$S$10,$U$10,$T$10))</f>
        <v>　レベル　1</v>
      </c>
      <c r="G19" s="1472" t="str">
        <f>IF(G16=$S$15,$T$10,IF(ROUNDDOWN(G16,0)=$S$10,$U$10,$T$10))</f>
        <v>　レベル　1</v>
      </c>
      <c r="H19" s="2343" t="s">
        <v>2725</v>
      </c>
      <c r="I19" s="2348"/>
      <c r="J19" s="2343" t="s">
        <v>2730</v>
      </c>
      <c r="K19" s="2348"/>
      <c r="L19" s="2293" t="s">
        <v>3175</v>
      </c>
      <c r="M19" s="2341"/>
      <c r="N19" s="2293" t="s">
        <v>3182</v>
      </c>
      <c r="O19" s="2341"/>
    </row>
    <row r="20" spans="4:256" ht="30.75" customHeight="1">
      <c r="D20" s="2565"/>
      <c r="E20" s="1462"/>
      <c r="F20" s="1473" t="str">
        <f>IF(F16=$S$15,$T$11,IF(ROUNDDOWN(F16,0)=$S$11,$U$11,$T$11))</f>
        <v>　レベル　2</v>
      </c>
      <c r="G20" s="1473" t="str">
        <f>IF(G16=$S$15,$T$11,IF(ROUNDDOWN(G16,0)=$S$11,$U$11,$T$11))</f>
        <v>　レベル　2</v>
      </c>
      <c r="H20" s="2344" t="s">
        <v>2726</v>
      </c>
      <c r="I20" s="2349" t="s">
        <v>1135</v>
      </c>
      <c r="J20" s="2344" t="s">
        <v>2726</v>
      </c>
      <c r="K20" s="2349" t="s">
        <v>1135</v>
      </c>
      <c r="L20" s="1223" t="s">
        <v>3176</v>
      </c>
      <c r="M20" s="2294"/>
      <c r="N20" s="1223" t="s">
        <v>3181</v>
      </c>
      <c r="O20" s="2294"/>
    </row>
    <row r="21" spans="4:256" ht="30.75" customHeight="1">
      <c r="D21" s="2565"/>
      <c r="E21" s="1462"/>
      <c r="F21" s="1473" t="str">
        <f>IF(F16=$S$15,$T$12,IF(ROUNDDOWN(F16,0)=$S$12,$U$12,$T$12))</f>
        <v>　レベル　3</v>
      </c>
      <c r="G21" s="1473" t="str">
        <f>IF(G16=$S$15,$T$12,IF(ROUNDDOWN(G16,0)=$S$12,$U$12,$T$12))</f>
        <v>　レベル　3</v>
      </c>
      <c r="H21" s="2344" t="s">
        <v>2727</v>
      </c>
      <c r="I21" s="2349" t="s">
        <v>1136</v>
      </c>
      <c r="J21" s="2344" t="s">
        <v>2727</v>
      </c>
      <c r="K21" s="2349" t="s">
        <v>1136</v>
      </c>
      <c r="L21" s="1223" t="s">
        <v>3177</v>
      </c>
      <c r="M21" s="2294"/>
      <c r="N21" s="1223" t="s">
        <v>3180</v>
      </c>
      <c r="O21" s="2294"/>
    </row>
    <row r="22" spans="4:256" ht="30.75" customHeight="1">
      <c r="D22" s="1025"/>
      <c r="E22" s="1162"/>
      <c r="F22" s="1473" t="str">
        <f>IF(F16=$S$15,$T$13,IF(ROUNDDOWN(F16,0)=$S$13,$U$13,$T$13))</f>
        <v>■レベル　4</v>
      </c>
      <c r="G22" s="1473" t="str">
        <f>IF(G16=$S$15,$T$13,IF(ROUNDDOWN(G16,0)=$S$13,$U$13,$T$13))</f>
        <v>■レベル　4</v>
      </c>
      <c r="H22" s="2344" t="s">
        <v>2728</v>
      </c>
      <c r="I22" s="2350" t="s">
        <v>1137</v>
      </c>
      <c r="J22" s="2344" t="s">
        <v>2731</v>
      </c>
      <c r="K22" s="2350" t="s">
        <v>1137</v>
      </c>
      <c r="L22" s="1223" t="s">
        <v>3178</v>
      </c>
      <c r="M22" s="2294"/>
      <c r="N22" s="1223" t="s">
        <v>3179</v>
      </c>
      <c r="O22" s="2294"/>
    </row>
    <row r="23" spans="4:256" ht="30.75" customHeight="1">
      <c r="D23" s="1025"/>
      <c r="E23" s="1162"/>
      <c r="F23" s="1474" t="str">
        <f>IF(F16=$S$15,$T$14,IF(ROUNDDOWN(F16,0)=$S$14,$U$14,$T$14))</f>
        <v>　レベル　5</v>
      </c>
      <c r="G23" s="1474" t="str">
        <f>IF(G16=$S$15,$T$14,IF(ROUNDDOWN(G16,0)=$S$14,$U$14,$T$14))</f>
        <v>　レベル　5</v>
      </c>
      <c r="H23" s="2345" t="s">
        <v>2729</v>
      </c>
      <c r="I23" s="2351"/>
      <c r="J23" s="2345" t="s">
        <v>2732</v>
      </c>
      <c r="K23" s="2351"/>
      <c r="L23" s="1198" t="s">
        <v>2724</v>
      </c>
      <c r="M23" s="2342"/>
      <c r="N23" s="1198" t="s">
        <v>2724</v>
      </c>
      <c r="O23" s="2342"/>
    </row>
    <row r="24" spans="4:256" ht="15.75">
      <c r="D24" s="1025"/>
      <c r="E24" s="2229"/>
      <c r="F24" s="2229"/>
      <c r="G24" s="2229"/>
      <c r="H24" s="2229"/>
      <c r="I24" s="2229"/>
      <c r="J24" s="2229"/>
      <c r="K24" s="2229"/>
      <c r="L24" s="2229"/>
      <c r="M24" s="2229"/>
      <c r="N24" s="2229"/>
      <c r="O24" s="2229"/>
      <c r="P24" s="2229"/>
      <c r="Q24" s="2229"/>
      <c r="R24" s="2229"/>
      <c r="S24" s="2229"/>
      <c r="T24" s="2229"/>
      <c r="U24" s="2229"/>
      <c r="V24" s="2229"/>
      <c r="W24" s="2229"/>
      <c r="X24" s="2229"/>
      <c r="Y24" s="2229"/>
      <c r="Z24" s="2229"/>
      <c r="AA24" s="2229"/>
      <c r="AB24" s="2229"/>
      <c r="AC24" s="2229"/>
      <c r="AD24" s="2229"/>
      <c r="AE24" s="2229"/>
      <c r="AF24" s="2229"/>
      <c r="AG24" s="2229"/>
      <c r="AH24" s="2229"/>
      <c r="AI24" s="2229"/>
      <c r="AJ24" s="2229"/>
      <c r="AK24" s="2229"/>
      <c r="AL24" s="2229"/>
      <c r="AM24" s="2229"/>
      <c r="AN24" s="2229"/>
      <c r="AO24" s="2229"/>
      <c r="AP24" s="2229"/>
      <c r="AQ24" s="2229"/>
      <c r="AR24" s="2229"/>
      <c r="AS24" s="2229"/>
      <c r="AT24" s="2229"/>
      <c r="AU24" s="2229"/>
      <c r="AV24" s="2229"/>
      <c r="AW24" s="2229"/>
      <c r="AX24" s="2229"/>
      <c r="AY24" s="2229"/>
      <c r="AZ24" s="2229"/>
      <c r="BA24" s="2229"/>
      <c r="BB24" s="2229"/>
      <c r="BC24" s="2229"/>
      <c r="BD24" s="2229"/>
      <c r="BE24" s="2229"/>
      <c r="BF24" s="2229"/>
      <c r="BG24" s="2229"/>
      <c r="BH24" s="2229"/>
      <c r="BI24" s="2229"/>
      <c r="BJ24" s="2229"/>
      <c r="BK24" s="2229"/>
      <c r="BL24" s="2229"/>
      <c r="BM24" s="2229"/>
      <c r="BN24" s="2229"/>
      <c r="BO24" s="2229"/>
      <c r="BP24" s="2229"/>
      <c r="BQ24" s="2229"/>
      <c r="BR24" s="2229"/>
      <c r="BS24" s="2229"/>
      <c r="BT24" s="2229"/>
      <c r="BU24" s="2229"/>
      <c r="BV24" s="2229"/>
      <c r="BW24" s="2229"/>
      <c r="BX24" s="2229"/>
      <c r="BY24" s="2229"/>
      <c r="BZ24" s="2229"/>
      <c r="CA24" s="2229"/>
      <c r="CB24" s="2229"/>
      <c r="CC24" s="2229"/>
      <c r="CD24" s="2229"/>
      <c r="CE24" s="2229"/>
      <c r="CF24" s="2229"/>
      <c r="CG24" s="2229"/>
      <c r="CH24" s="2229"/>
      <c r="CI24" s="2229"/>
      <c r="CJ24" s="2229"/>
      <c r="CK24" s="2229"/>
      <c r="CL24" s="2229"/>
      <c r="CM24" s="2229"/>
      <c r="CN24" s="2229"/>
      <c r="CO24" s="2229"/>
      <c r="CP24" s="2229"/>
      <c r="CQ24" s="2229"/>
      <c r="CR24" s="2229"/>
      <c r="CS24" s="2229"/>
      <c r="CT24" s="2229"/>
      <c r="CU24" s="2229"/>
      <c r="CV24" s="2229"/>
      <c r="CW24" s="2229"/>
      <c r="CX24" s="2229"/>
      <c r="CY24" s="2229"/>
      <c r="CZ24" s="2229"/>
      <c r="DA24" s="2229"/>
      <c r="DB24" s="2229"/>
      <c r="DC24" s="2229"/>
      <c r="DD24" s="2229"/>
      <c r="DE24" s="2229"/>
      <c r="DF24" s="2229"/>
      <c r="DG24" s="2229"/>
      <c r="DH24" s="2229"/>
      <c r="DI24" s="2229"/>
      <c r="DJ24" s="2229"/>
      <c r="DK24" s="2229"/>
      <c r="DL24" s="2229"/>
      <c r="DM24" s="2229"/>
      <c r="DN24" s="2229"/>
      <c r="DO24" s="2229"/>
      <c r="DP24" s="2229"/>
      <c r="DQ24" s="2229"/>
      <c r="DR24" s="2229"/>
      <c r="DS24" s="2229"/>
      <c r="DT24" s="2229"/>
      <c r="DU24" s="2229"/>
      <c r="DV24" s="2229"/>
      <c r="DW24" s="2229"/>
      <c r="DX24" s="2229"/>
      <c r="DY24" s="2229"/>
      <c r="DZ24" s="2229"/>
      <c r="EA24" s="2229"/>
      <c r="EB24" s="2229"/>
      <c r="EC24" s="2229"/>
      <c r="ED24" s="2229"/>
      <c r="EE24" s="2229"/>
      <c r="EF24" s="2229"/>
      <c r="EG24" s="2229"/>
      <c r="EH24" s="2229"/>
      <c r="EI24" s="2229"/>
      <c r="EJ24" s="2229"/>
      <c r="EK24" s="2229"/>
      <c r="EL24" s="2229"/>
      <c r="EM24" s="2229"/>
      <c r="EN24" s="2229"/>
      <c r="EO24" s="2229"/>
      <c r="EP24" s="2229"/>
      <c r="EQ24" s="2229"/>
      <c r="ER24" s="2229"/>
      <c r="ES24" s="2229"/>
      <c r="ET24" s="2229"/>
      <c r="EU24" s="2229"/>
      <c r="EV24" s="2229"/>
      <c r="EW24" s="2229"/>
      <c r="EX24" s="2229"/>
      <c r="EY24" s="2229"/>
      <c r="EZ24" s="2229"/>
      <c r="FA24" s="2229"/>
      <c r="FB24" s="2229"/>
      <c r="FC24" s="2229"/>
      <c r="FD24" s="2229"/>
      <c r="FE24" s="2229"/>
      <c r="FF24" s="2229"/>
      <c r="FG24" s="2229"/>
      <c r="FH24" s="2229"/>
      <c r="FI24" s="2229"/>
      <c r="FJ24" s="2229"/>
      <c r="FK24" s="2229"/>
      <c r="FL24" s="2229"/>
      <c r="FM24" s="2229"/>
      <c r="FN24" s="2229"/>
      <c r="FO24" s="2229"/>
      <c r="FP24" s="2229"/>
      <c r="FQ24" s="2229"/>
      <c r="FR24" s="2229"/>
      <c r="FS24" s="2229"/>
      <c r="FT24" s="2229"/>
      <c r="FU24" s="2229"/>
      <c r="FV24" s="2229"/>
      <c r="FW24" s="2229"/>
      <c r="FX24" s="2229"/>
      <c r="FY24" s="2229"/>
      <c r="FZ24" s="2229"/>
      <c r="GA24" s="2229"/>
      <c r="GB24" s="2229"/>
      <c r="GC24" s="2229"/>
      <c r="GD24" s="2229"/>
      <c r="GE24" s="2229"/>
      <c r="GF24" s="2229"/>
      <c r="GG24" s="2229"/>
      <c r="GH24" s="2229"/>
      <c r="GI24" s="2229"/>
      <c r="GJ24" s="2229"/>
      <c r="GK24" s="2229"/>
      <c r="GL24" s="2229"/>
      <c r="GM24" s="2229"/>
      <c r="GN24" s="2229"/>
      <c r="GO24" s="2229"/>
      <c r="GP24" s="2229"/>
      <c r="GQ24" s="2229"/>
      <c r="GR24" s="2229"/>
      <c r="GS24" s="2229"/>
      <c r="GT24" s="2229"/>
      <c r="GU24" s="2229"/>
      <c r="GV24" s="2229"/>
      <c r="GW24" s="2229"/>
      <c r="GX24" s="2229"/>
      <c r="GY24" s="2229"/>
      <c r="GZ24" s="2229"/>
      <c r="HA24" s="2229"/>
      <c r="HB24" s="2229"/>
      <c r="HC24" s="2229"/>
      <c r="HD24" s="2229"/>
      <c r="HE24" s="2229"/>
      <c r="HF24" s="2229"/>
      <c r="HG24" s="2229"/>
      <c r="HH24" s="2229"/>
      <c r="HI24" s="2229"/>
      <c r="HJ24" s="2229"/>
      <c r="HK24" s="2229"/>
      <c r="HL24" s="2229"/>
      <c r="HM24" s="2229"/>
      <c r="HN24" s="2229"/>
      <c r="HO24" s="2229"/>
      <c r="HP24" s="2229"/>
      <c r="HQ24" s="2229"/>
      <c r="HR24" s="2229"/>
      <c r="HS24" s="2229"/>
      <c r="HT24" s="2229"/>
      <c r="HU24" s="2229"/>
      <c r="HV24" s="2229"/>
      <c r="HW24" s="2229"/>
      <c r="HX24" s="2229"/>
      <c r="HY24" s="2229"/>
      <c r="HZ24" s="2229"/>
      <c r="IA24" s="2229"/>
      <c r="IB24" s="2229"/>
      <c r="IC24" s="2229"/>
      <c r="ID24" s="2229"/>
      <c r="IE24" s="2229"/>
      <c r="IF24" s="2229"/>
      <c r="IG24" s="2229"/>
      <c r="IH24" s="2229"/>
      <c r="II24" s="2229"/>
      <c r="IJ24" s="2229"/>
      <c r="IK24" s="2229"/>
      <c r="IL24" s="2229"/>
      <c r="IM24" s="2229"/>
      <c r="IN24" s="2229"/>
      <c r="IO24" s="2229"/>
      <c r="IP24" s="2229"/>
      <c r="IQ24" s="2229"/>
      <c r="IR24" s="2229"/>
      <c r="IS24" s="2229"/>
      <c r="IT24" s="2229"/>
      <c r="IU24" s="2229"/>
      <c r="IV24" s="2229"/>
    </row>
    <row r="25" spans="4:256" ht="15.75">
      <c r="D25" s="2565"/>
      <c r="E25" s="1462"/>
      <c r="F25" s="2229"/>
      <c r="G25" s="2295">
        <f>計画書!M12</f>
        <v>1</v>
      </c>
      <c r="H25" s="1166" t="s">
        <v>2349</v>
      </c>
      <c r="I25" s="1166"/>
      <c r="J25" s="1467"/>
      <c r="K25" s="2312">
        <f>メイン!C64</f>
        <v>0</v>
      </c>
    </row>
    <row r="26" spans="4:256" ht="30.75" customHeight="1">
      <c r="D26" s="2565"/>
      <c r="E26" s="1462"/>
      <c r="F26" s="2229"/>
      <c r="G26" s="1472" t="str">
        <f>IF(G25=$S$15,$T$10,IF(ROUNDDOWN(G25,0)=$S$10,$U$10,$T$10))</f>
        <v>■レベル　1</v>
      </c>
      <c r="H26" s="2933" t="s">
        <v>3183</v>
      </c>
      <c r="I26" s="3152"/>
      <c r="J26" s="3152"/>
      <c r="K26" s="3153"/>
    </row>
    <row r="27" spans="4:256" ht="30.75" customHeight="1">
      <c r="D27" s="2565"/>
      <c r="E27" s="1462"/>
      <c r="F27" s="2229"/>
      <c r="G27" s="1473" t="str">
        <f>IF(G25=$S$15,$T$11,IF(ROUNDDOWN(G25,0)=$S$11,$U$11,$T$11))</f>
        <v>　レベル　2</v>
      </c>
      <c r="H27" s="2933" t="s">
        <v>3184</v>
      </c>
      <c r="I27" s="3152"/>
      <c r="J27" s="3152"/>
      <c r="K27" s="3154"/>
    </row>
    <row r="28" spans="4:256" ht="30.75" customHeight="1">
      <c r="D28" s="2565"/>
      <c r="E28" s="1462"/>
      <c r="F28" s="2229"/>
      <c r="G28" s="1473" t="str">
        <f>IF(G25=$S$15,$T$12,IF(ROUNDDOWN(G25,0)=$S$12,$U$12,$T$12))</f>
        <v>　レベル　3</v>
      </c>
      <c r="H28" s="2933" t="s">
        <v>3185</v>
      </c>
      <c r="I28" s="3152"/>
      <c r="J28" s="3152"/>
      <c r="K28" s="3154"/>
    </row>
    <row r="29" spans="4:256" ht="30.75" customHeight="1">
      <c r="D29" s="1025"/>
      <c r="E29" s="1162"/>
      <c r="F29" s="2229"/>
      <c r="G29" s="1473" t="str">
        <f>IF(G25=$S$15,$T$13,IF(ROUNDDOWN(G25,0)=$S$13,$U$13,$T$13))</f>
        <v>　レベル　4</v>
      </c>
      <c r="H29" s="1223" t="s">
        <v>222</v>
      </c>
      <c r="I29" s="1224"/>
      <c r="J29" s="1224"/>
      <c r="K29" s="2294"/>
    </row>
    <row r="30" spans="4:256" ht="30.75" customHeight="1">
      <c r="D30" s="1025"/>
      <c r="E30" s="1162"/>
      <c r="F30" s="2229"/>
      <c r="G30" s="1474" t="str">
        <f>IF(G25=$S$15,$T$14,IF(ROUNDDOWN(G25,0)=$S$14,$U$14,$T$14))</f>
        <v>　レベル　5</v>
      </c>
      <c r="H30" s="2925" t="s">
        <v>3186</v>
      </c>
      <c r="I30" s="3164"/>
      <c r="J30" s="3164"/>
      <c r="K30" s="3165"/>
    </row>
    <row r="31" spans="4:256" ht="17.25" customHeight="1" thickBot="1">
      <c r="D31" s="1025"/>
      <c r="E31" s="1025"/>
      <c r="F31" s="1478" t="s">
        <v>1138</v>
      </c>
      <c r="G31" s="1025"/>
      <c r="H31" s="1025"/>
      <c r="I31" s="1025"/>
      <c r="J31" s="1025"/>
      <c r="K31" s="1025"/>
      <c r="L31" s="1025"/>
      <c r="M31" s="1025"/>
      <c r="N31" s="1025"/>
      <c r="O31" s="1025"/>
    </row>
    <row r="32" spans="4:256" ht="16.5" thickBot="1">
      <c r="D32" s="1025"/>
      <c r="E32" s="1162"/>
      <c r="F32" s="1049">
        <v>3</v>
      </c>
      <c r="G32" s="2613"/>
      <c r="H32" s="1025"/>
      <c r="I32" s="1025"/>
      <c r="J32" s="1025"/>
      <c r="K32" s="1025"/>
      <c r="L32" s="1025"/>
      <c r="M32" s="1025"/>
      <c r="N32" s="1025"/>
      <c r="O32" s="1025"/>
    </row>
    <row r="33" spans="2:17"/>
    <row r="34" spans="2:17" ht="15.75">
      <c r="D34" s="1025">
        <v>2</v>
      </c>
      <c r="E34" s="1034" t="s">
        <v>2733</v>
      </c>
      <c r="F34" s="1034"/>
      <c r="G34" s="1034"/>
      <c r="H34" s="1034"/>
      <c r="I34" s="1484"/>
      <c r="J34" s="1484"/>
      <c r="K34" s="1484"/>
      <c r="L34" s="1484"/>
      <c r="M34" s="1485"/>
    </row>
    <row r="35" spans="2:17" ht="15.75" hidden="1">
      <c r="D35" s="2567">
        <v>2.1</v>
      </c>
      <c r="E35" s="2511" t="s">
        <v>1104</v>
      </c>
      <c r="F35" s="2511"/>
      <c r="G35" s="1034"/>
      <c r="H35" s="1034"/>
      <c r="I35" s="1484"/>
      <c r="J35" s="1119" t="str">
        <f>IF(OR(F37=0,AND(J36=0,O37=0)),$R$3,"")</f>
        <v>&lt;評価しない&gt;</v>
      </c>
      <c r="K35" s="1484"/>
      <c r="L35" s="1484"/>
      <c r="M35" s="1485"/>
      <c r="N35" s="144"/>
      <c r="O35" s="144"/>
    </row>
    <row r="36" spans="2:17" ht="15.75" hidden="1">
      <c r="D36" s="1025"/>
      <c r="E36" s="1034"/>
      <c r="F36" s="1185"/>
      <c r="G36" s="1043"/>
      <c r="H36" s="1044"/>
      <c r="I36" s="1045" t="s">
        <v>1484</v>
      </c>
      <c r="J36" s="1046">
        <f>重み!M120</f>
        <v>0</v>
      </c>
      <c r="K36" s="1186"/>
      <c r="L36" s="1186"/>
      <c r="M36" s="1186"/>
      <c r="N36" s="1186"/>
      <c r="O36" s="1055"/>
    </row>
    <row r="37" spans="2:17" ht="16.5" hidden="1" thickBot="1">
      <c r="D37" s="1025"/>
      <c r="E37" s="1034"/>
      <c r="F37" s="1421">
        <f>IF(I44&lt;1,3,IF(I44&lt;15,4,5))</f>
        <v>3</v>
      </c>
      <c r="G37" s="2332" t="s">
        <v>2816</v>
      </c>
      <c r="H37" s="1509"/>
      <c r="I37" s="1509"/>
      <c r="J37" s="1509"/>
      <c r="K37" s="1509"/>
      <c r="L37" s="1509"/>
      <c r="M37" s="1509"/>
      <c r="N37" s="1509"/>
      <c r="O37" s="2486">
        <f>計画書!H98</f>
        <v>0</v>
      </c>
    </row>
    <row r="38" spans="2:17" ht="15.75" hidden="1">
      <c r="D38" s="1025"/>
      <c r="E38" s="1025"/>
      <c r="F38" s="1056" t="str">
        <f>IF(F37=$S$15,$T$10,IF(ROUNDDOWN(F37,0)=$S$10,$U$10,$T$10))</f>
        <v>　レベル　1</v>
      </c>
      <c r="G38" s="1291" t="s">
        <v>1957</v>
      </c>
      <c r="H38" s="2310"/>
      <c r="I38" s="2310"/>
      <c r="J38" s="2310"/>
      <c r="K38" s="2310"/>
      <c r="L38" s="2310"/>
      <c r="M38" s="2310"/>
      <c r="N38" s="2959" t="s">
        <v>2737</v>
      </c>
      <c r="O38" s="3158"/>
    </row>
    <row r="39" spans="2:17" ht="15.75" hidden="1">
      <c r="D39" s="1025"/>
      <c r="E39" s="1025"/>
      <c r="F39" s="1209" t="str">
        <f>IF(F37=$S$15,$T$11,IF(ROUNDDOWN(F37,0)=$S$11,$U$11,$T$11))</f>
        <v>　レベル　2</v>
      </c>
      <c r="G39" s="1294" t="s">
        <v>1957</v>
      </c>
      <c r="H39" s="1503"/>
      <c r="I39" s="1503"/>
      <c r="J39" s="1503"/>
      <c r="K39" s="1503"/>
      <c r="L39" s="1503"/>
      <c r="M39" s="1503"/>
      <c r="N39" s="3159"/>
      <c r="O39" s="3160"/>
    </row>
    <row r="40" spans="2:17" ht="15.75" hidden="1">
      <c r="D40" s="1025"/>
      <c r="E40" s="1025"/>
      <c r="F40" s="1209" t="str">
        <f>IF(F37=$S$15,$T$12,IF(ROUNDDOWN(F37,0)=$S$12,$U$12,$T$12))</f>
        <v>■レベル　3</v>
      </c>
      <c r="G40" s="1223" t="s">
        <v>2734</v>
      </c>
      <c r="H40" s="1503"/>
      <c r="I40" s="1503"/>
      <c r="J40" s="1503"/>
      <c r="K40" s="1503"/>
      <c r="L40" s="1503"/>
      <c r="M40" s="1503"/>
      <c r="N40" s="3159"/>
      <c r="O40" s="3160"/>
    </row>
    <row r="41" spans="2:17" ht="15.75" hidden="1">
      <c r="D41" s="1025"/>
      <c r="E41" s="1025"/>
      <c r="F41" s="1209" t="str">
        <f>IF(F37=$S$15,$T$13,IF(ROUNDDOWN(F37,0)=$S$13,$U$13,$T$13))</f>
        <v>　レベル　4</v>
      </c>
      <c r="G41" s="1223" t="s">
        <v>2735</v>
      </c>
      <c r="H41" s="1503"/>
      <c r="I41" s="1503"/>
      <c r="J41" s="1503"/>
      <c r="K41" s="1503"/>
      <c r="L41" s="1503"/>
      <c r="M41" s="1503"/>
      <c r="N41" s="3159"/>
      <c r="O41" s="3160"/>
    </row>
    <row r="42" spans="2:17" ht="15.75" hidden="1">
      <c r="D42" s="1025"/>
      <c r="E42" s="1025"/>
      <c r="F42" s="1072" t="str">
        <f>IF(F37=$S$15,$T$14,IF(ROUNDDOWN(F37,0)=$S$14,$U$14,$T$14))</f>
        <v>　レベル　5</v>
      </c>
      <c r="G42" s="2331" t="s">
        <v>2736</v>
      </c>
      <c r="H42" s="1520"/>
      <c r="I42" s="1520"/>
      <c r="J42" s="1520"/>
      <c r="K42" s="1520"/>
      <c r="L42" s="1520"/>
      <c r="M42" s="1520"/>
      <c r="N42" s="3161"/>
      <c r="O42" s="3162"/>
    </row>
    <row r="43" spans="2:17" ht="15.75" hidden="1">
      <c r="D43" s="1025"/>
      <c r="E43" s="2229"/>
      <c r="F43" s="2229"/>
      <c r="G43" s="2229"/>
      <c r="H43" s="2229"/>
      <c r="I43" s="2229"/>
      <c r="J43" s="2229"/>
      <c r="K43" s="2229"/>
      <c r="L43" s="2229"/>
      <c r="M43" s="2229"/>
      <c r="N43" s="2229"/>
      <c r="O43" s="2229"/>
      <c r="P43" s="2229"/>
      <c r="Q43" s="2229"/>
    </row>
    <row r="44" spans="2:17" ht="16.5" hidden="1" thickBot="1">
      <c r="D44" s="1025"/>
      <c r="E44" s="2229"/>
      <c r="F44" s="2229"/>
      <c r="G44" s="1482" t="s">
        <v>81</v>
      </c>
      <c r="H44" s="1462"/>
      <c r="I44" s="1488">
        <v>0</v>
      </c>
      <c r="J44" s="1483" t="s">
        <v>82</v>
      </c>
      <c r="K44" s="144"/>
      <c r="L44" s="144"/>
      <c r="M44" s="2229"/>
      <c r="N44" s="2229"/>
      <c r="O44" s="2229"/>
    </row>
    <row r="45" spans="2:17" ht="15.75" hidden="1">
      <c r="D45" s="1025">
        <v>2.2000000000000002</v>
      </c>
      <c r="E45" s="1034" t="s">
        <v>1103</v>
      </c>
      <c r="F45" s="2229"/>
      <c r="G45" s="2229"/>
      <c r="H45" s="2229"/>
      <c r="I45" s="2229"/>
      <c r="J45" s="1119" t="str">
        <f>IF(OR(F47=0,AND(J46=0,O46=0)),$R$3,"")</f>
        <v/>
      </c>
      <c r="K45" s="2229"/>
      <c r="L45" s="2229"/>
      <c r="M45" s="2229"/>
      <c r="N45" s="2229"/>
      <c r="O45" s="2229"/>
      <c r="P45" s="2229"/>
      <c r="Q45" s="2229"/>
    </row>
    <row r="46" spans="2:17" ht="16.5" thickBot="1">
      <c r="D46" s="1025"/>
      <c r="E46" s="1034"/>
      <c r="F46" s="1185"/>
      <c r="G46" s="1043"/>
      <c r="H46" s="1044"/>
      <c r="I46" s="1045" t="s">
        <v>1484</v>
      </c>
      <c r="J46" s="1046">
        <f>重み!M121</f>
        <v>1</v>
      </c>
      <c r="K46" s="1186"/>
      <c r="L46" s="1186"/>
      <c r="M46" s="1186"/>
      <c r="N46" s="1186"/>
      <c r="O46" s="1055"/>
    </row>
    <row r="47" spans="2:17" ht="16.5" thickBot="1">
      <c r="D47" s="1025"/>
      <c r="E47" s="1034"/>
      <c r="F47" s="1421">
        <f>IF((J47+O47)=0,0,G47*J47/(J47+O47)+K47*O47/(J47+O47))</f>
        <v>3</v>
      </c>
      <c r="G47" s="1421">
        <f>IF(COUNTIF(H57:H60,"○")&lt;1,3,IF(COUNTIF(H57:H60,"○")&gt;=1,IF(I54&lt;15,4,5)))</f>
        <v>3</v>
      </c>
      <c r="H47" s="1481" t="s">
        <v>1108</v>
      </c>
      <c r="I47" s="1481"/>
      <c r="J47" s="1285">
        <f>計画書!H101</f>
        <v>3000</v>
      </c>
      <c r="K47" s="1049">
        <v>3</v>
      </c>
      <c r="L47" s="1486" t="s">
        <v>1624</v>
      </c>
      <c r="M47" s="1487"/>
      <c r="N47" s="1487"/>
      <c r="O47" s="1285">
        <f>計画書!H100</f>
        <v>0</v>
      </c>
    </row>
    <row r="48" spans="2:17" ht="23.25" customHeight="1">
      <c r="B48" s="1" t="s">
        <v>3105</v>
      </c>
      <c r="C48" s="1" t="s">
        <v>3105</v>
      </c>
      <c r="D48" s="1025"/>
      <c r="E48" s="1025"/>
      <c r="F48" s="1504" t="str">
        <f>IF(F47=$S$15,"",IF(ROUNDDOWN(F47,0)=$S$10,$U$10,$T$10))</f>
        <v>　レベル　1</v>
      </c>
      <c r="G48" s="1504" t="str">
        <f>IF(G47=$S$15,"",IF(ROUNDDOWN(G47,0)=$S$10,$U$10,$T$10))</f>
        <v>　レベル　1</v>
      </c>
      <c r="H48" s="1058" t="s">
        <v>2365</v>
      </c>
      <c r="I48" s="1059"/>
      <c r="J48" s="1059"/>
      <c r="K48" s="1504" t="str">
        <f>IF(K47=$S$15,"",IF(ROUNDDOWN(K47,0)=$S$10,$U$10,$T$10))</f>
        <v>　レベル　1</v>
      </c>
      <c r="L48" s="1058" t="s">
        <v>2365</v>
      </c>
      <c r="M48" s="1058"/>
      <c r="N48" s="1059"/>
      <c r="O48" s="1060"/>
    </row>
    <row r="49" spans="2:17" ht="23.25" customHeight="1">
      <c r="B49" s="1" t="s">
        <v>3105</v>
      </c>
      <c r="C49" s="1">
        <v>2</v>
      </c>
      <c r="D49" s="1025"/>
      <c r="E49" s="1025"/>
      <c r="F49" s="1506" t="str">
        <f>IF(F47=$S$15,"",IF(ROUNDDOWN(F47,0)=$S$11,$U$11,$T$11))</f>
        <v>　レベル　2</v>
      </c>
      <c r="G49" s="1506" t="str">
        <f>IF(G47=$S$15,"",IF(ROUNDDOWN(G47,0)=$S$11,$U$11,$T$11))</f>
        <v>　レベル　2</v>
      </c>
      <c r="H49" s="1065" t="s">
        <v>2365</v>
      </c>
      <c r="I49" s="1066"/>
      <c r="J49" s="1066"/>
      <c r="K49" s="1506" t="str">
        <f>IF(K47=$S$15,"",IF(ROUNDDOWN(K47,0)=$S$11,$U$11,$T$11))</f>
        <v>　レベル　2</v>
      </c>
      <c r="L49" s="1065" t="s">
        <v>1625</v>
      </c>
      <c r="M49" s="1065"/>
      <c r="N49" s="1066"/>
      <c r="O49" s="1067"/>
    </row>
    <row r="50" spans="2:17" ht="39.75" customHeight="1">
      <c r="B50" s="1">
        <v>3</v>
      </c>
      <c r="C50" s="1">
        <v>3</v>
      </c>
      <c r="D50" s="1025"/>
      <c r="E50" s="1025"/>
      <c r="F50" s="1506" t="str">
        <f>IF(F47=$S$15,"",IF(ROUNDDOWN(F47,0)=$S$12,$U$12,$T$12))</f>
        <v>■レベル　3</v>
      </c>
      <c r="G50" s="1506" t="str">
        <f>IF(G47=$S$15,"",IF(ROUNDDOWN(G47,0)=$S$12,$U$12,$T$12))</f>
        <v>■レベル　3</v>
      </c>
      <c r="H50" s="3168" t="s">
        <v>3241</v>
      </c>
      <c r="I50" s="3169"/>
      <c r="J50" s="3170"/>
      <c r="K50" s="1506" t="str">
        <f>IF(K47=$S$15,"",IF(ROUNDDOWN(K47,0)=$S$12,$U$12,$T$12))</f>
        <v>■レベル　3</v>
      </c>
      <c r="L50" s="2933" t="s">
        <v>3075</v>
      </c>
      <c r="M50" s="3141"/>
      <c r="N50" s="3141"/>
      <c r="O50" s="3177"/>
    </row>
    <row r="51" spans="2:17" ht="50.25" customHeight="1">
      <c r="B51" s="1">
        <v>4</v>
      </c>
      <c r="C51" s="1">
        <v>4</v>
      </c>
      <c r="D51" s="1025"/>
      <c r="E51" s="1025"/>
      <c r="F51" s="1506" t="str">
        <f>IF(F47=$S$15,"",IF(ROUNDDOWN(F47,0)=$S$13,$U$13,$T$13))</f>
        <v>　レベル　4</v>
      </c>
      <c r="G51" s="1506" t="str">
        <f>IF(G47=$S$15,"",IF(ROUNDDOWN(G47,0)=$S$13,$U$13,$T$13))</f>
        <v>　レベル　4</v>
      </c>
      <c r="H51" s="2900" t="s">
        <v>3242</v>
      </c>
      <c r="I51" s="2923"/>
      <c r="J51" s="2924"/>
      <c r="K51" s="1506" t="str">
        <f>IF(K47=$S$15,"",IF(ROUNDDOWN(K47,0)=$S$13,$U$13,$T$13))</f>
        <v>　レベル　4</v>
      </c>
      <c r="L51" s="2933" t="s">
        <v>863</v>
      </c>
      <c r="M51" s="3141"/>
      <c r="N51" s="3141"/>
      <c r="O51" s="3177"/>
    </row>
    <row r="52" spans="2:17" ht="27" customHeight="1">
      <c r="B52" s="1">
        <v>5</v>
      </c>
      <c r="C52" s="1">
        <v>5</v>
      </c>
      <c r="D52" s="1025"/>
      <c r="E52" s="1025"/>
      <c r="F52" s="1507" t="str">
        <f>IF(F47=$S$15,"",IF(ROUNDDOWN(F47,0)=$S$14,$U$14,$T$14))</f>
        <v>　レベル　5</v>
      </c>
      <c r="G52" s="1507" t="str">
        <f>IF(G47=$S$15,"",IF(ROUNDDOWN(G47,0)=$S$14,$U$14,$T$14))</f>
        <v>　レベル　5</v>
      </c>
      <c r="H52" s="1076" t="s">
        <v>864</v>
      </c>
      <c r="I52" s="1077"/>
      <c r="J52" s="1077"/>
      <c r="K52" s="1507" t="str">
        <f>IF(K47=$S$15,"",IF(ROUNDDOWN(K47,0)=$S$14,$U$14,$T$14))</f>
        <v>　レベル　5</v>
      </c>
      <c r="L52" s="1076" t="s">
        <v>865</v>
      </c>
      <c r="M52" s="1076"/>
      <c r="N52" s="1077"/>
      <c r="O52" s="1078"/>
    </row>
    <row r="53" spans="2:17" ht="8.25" customHeight="1" thickBot="1">
      <c r="D53" s="2559"/>
      <c r="E53" s="144"/>
      <c r="F53" s="144"/>
      <c r="G53" s="144"/>
      <c r="H53" s="144"/>
      <c r="I53" s="144"/>
      <c r="J53" s="144"/>
      <c r="K53" s="144"/>
      <c r="L53" s="144"/>
      <c r="M53" s="144"/>
      <c r="N53" s="144"/>
      <c r="O53" s="144"/>
    </row>
    <row r="54" spans="2:17" ht="25.5" customHeight="1" thickBot="1">
      <c r="D54" s="2559"/>
      <c r="E54" s="144"/>
      <c r="F54" s="144"/>
      <c r="G54" s="1482" t="s">
        <v>81</v>
      </c>
      <c r="H54" s="1462"/>
      <c r="I54" s="1488">
        <v>0</v>
      </c>
      <c r="J54" s="1483" t="s">
        <v>82</v>
      </c>
      <c r="K54" s="144"/>
      <c r="L54" s="144"/>
      <c r="M54" s="144"/>
      <c r="N54" s="144"/>
      <c r="O54" s="144"/>
    </row>
    <row r="55" spans="2:17" ht="7.5" customHeight="1">
      <c r="D55" s="2559"/>
      <c r="E55" s="144"/>
      <c r="F55" s="144"/>
      <c r="G55" s="144"/>
      <c r="H55" s="144"/>
      <c r="I55" s="144"/>
      <c r="J55" s="144"/>
      <c r="K55" s="144"/>
      <c r="L55" s="144"/>
      <c r="M55" s="144"/>
      <c r="N55" s="144"/>
      <c r="O55" s="144"/>
    </row>
    <row r="56" spans="2:17" ht="19.5" customHeight="1" thickBot="1">
      <c r="D56" s="1025"/>
      <c r="E56" s="1485"/>
      <c r="F56" s="1025"/>
      <c r="G56" s="1489" t="s">
        <v>1109</v>
      </c>
      <c r="H56" s="1490" t="s">
        <v>1279</v>
      </c>
      <c r="I56" s="1491" t="s">
        <v>1110</v>
      </c>
      <c r="J56" s="1492"/>
      <c r="K56" s="1492"/>
      <c r="L56" s="1492"/>
      <c r="M56" s="1492"/>
      <c r="N56" s="1492"/>
      <c r="O56" s="1493"/>
      <c r="P56" s="2229"/>
      <c r="Q56" s="2229"/>
    </row>
    <row r="57" spans="2:17" ht="23.25" customHeight="1">
      <c r="D57" s="1025"/>
      <c r="E57" s="1485"/>
      <c r="F57" s="1025"/>
      <c r="G57" s="1494">
        <v>1</v>
      </c>
      <c r="H57" s="1371"/>
      <c r="I57" s="2984" t="s">
        <v>2764</v>
      </c>
      <c r="J57" s="3175"/>
      <c r="K57" s="3175"/>
      <c r="L57" s="3175"/>
      <c r="M57" s="3175"/>
      <c r="N57" s="3175"/>
      <c r="O57" s="3176"/>
    </row>
    <row r="58" spans="2:17" ht="31.5" customHeight="1">
      <c r="D58" s="1025"/>
      <c r="E58" s="1485"/>
      <c r="F58" s="1025"/>
      <c r="G58" s="1495">
        <v>2</v>
      </c>
      <c r="H58" s="1374"/>
      <c r="I58" s="2984" t="s">
        <v>1111</v>
      </c>
      <c r="J58" s="3175"/>
      <c r="K58" s="3175"/>
      <c r="L58" s="3175"/>
      <c r="M58" s="3175"/>
      <c r="N58" s="3175"/>
      <c r="O58" s="3176"/>
    </row>
    <row r="59" spans="2:17" ht="27.75" customHeight="1">
      <c r="D59" s="1025"/>
      <c r="E59" s="1485"/>
      <c r="F59" s="1025"/>
      <c r="G59" s="1495">
        <v>3</v>
      </c>
      <c r="H59" s="1374" t="s">
        <v>2923</v>
      </c>
      <c r="I59" s="2984" t="s">
        <v>3160</v>
      </c>
      <c r="J59" s="3175"/>
      <c r="K59" s="3175"/>
      <c r="L59" s="3175"/>
      <c r="M59" s="3175"/>
      <c r="N59" s="3175"/>
      <c r="O59" s="3176"/>
    </row>
    <row r="60" spans="2:17" ht="27.75" customHeight="1" thickBot="1">
      <c r="D60" s="1025"/>
      <c r="E60" s="1485"/>
      <c r="F60" s="1025"/>
      <c r="G60" s="1496">
        <v>4</v>
      </c>
      <c r="H60" s="1497"/>
      <c r="I60" s="1297" t="s">
        <v>3161</v>
      </c>
      <c r="J60" s="1298"/>
      <c r="K60" s="1298"/>
      <c r="L60" s="1298"/>
      <c r="M60" s="1298"/>
      <c r="N60" s="1298"/>
      <c r="O60" s="1299"/>
    </row>
    <row r="61" spans="2:17"/>
    <row r="62" spans="2:17" ht="14.25" customHeight="1">
      <c r="D62" s="1465">
        <v>3</v>
      </c>
      <c r="E62" s="1263" t="s">
        <v>1700</v>
      </c>
      <c r="F62" s="592"/>
      <c r="G62" s="592"/>
      <c r="H62" s="592"/>
      <c r="I62" s="592"/>
      <c r="J62" s="1119" t="str">
        <f>IF(OR(F65=0,AND(J64=0,M65=0)),$R$3,"")</f>
        <v/>
      </c>
      <c r="K62" s="1424"/>
      <c r="L62" s="1424"/>
      <c r="M62" s="1424"/>
      <c r="N62" s="1424"/>
      <c r="O62" s="1424"/>
    </row>
    <row r="63" spans="2:17" s="2678" customFormat="1" ht="14.25" hidden="1" customHeight="1">
      <c r="D63" s="1465">
        <v>3.1</v>
      </c>
      <c r="E63" s="1263" t="s">
        <v>3257</v>
      </c>
      <c r="F63" s="592"/>
      <c r="G63" s="592"/>
      <c r="H63" s="592"/>
      <c r="I63" s="592"/>
      <c r="J63" s="1119"/>
      <c r="K63" s="1424"/>
      <c r="L63" s="1424"/>
      <c r="M63" s="1424"/>
      <c r="N63" s="1424"/>
      <c r="O63" s="1424"/>
    </row>
    <row r="64" spans="2:17" ht="14.25">
      <c r="D64" s="2564"/>
      <c r="E64" s="1466"/>
      <c r="F64" s="1192" t="s">
        <v>2834</v>
      </c>
      <c r="G64" s="1481" t="s">
        <v>136</v>
      </c>
      <c r="H64" s="1481"/>
      <c r="I64" s="1045" t="s">
        <v>1484</v>
      </c>
      <c r="J64" s="1046">
        <f>重み!M124</f>
        <v>0.5</v>
      </c>
      <c r="K64" s="1054"/>
      <c r="L64" s="1054"/>
      <c r="M64" s="1055"/>
    </row>
    <row r="65" spans="4:15" ht="19.5" customHeight="1">
      <c r="D65" s="1025"/>
      <c r="E65" s="1462"/>
      <c r="F65" s="3150">
        <f>ROUNDDOWN(計画書!I34,1)</f>
        <v>4</v>
      </c>
      <c r="G65" s="3155">
        <f>ROUNDDOWN(計画書!I31,1)</f>
        <v>4</v>
      </c>
      <c r="H65" s="1509" t="s">
        <v>2816</v>
      </c>
      <c r="I65" s="1054"/>
      <c r="J65" s="1054"/>
      <c r="K65" s="1054"/>
      <c r="L65" s="1054"/>
      <c r="M65" s="1285">
        <f>メイン!J66-O73</f>
        <v>3000</v>
      </c>
    </row>
    <row r="66" spans="4:15" ht="19.5" customHeight="1">
      <c r="D66" s="1025"/>
      <c r="E66" s="1462"/>
      <c r="F66" s="3151"/>
      <c r="G66" s="3157"/>
      <c r="H66" s="1481" t="s">
        <v>2371</v>
      </c>
      <c r="I66" s="1481"/>
      <c r="J66" s="1481"/>
      <c r="K66" s="1166" t="s">
        <v>2370</v>
      </c>
      <c r="L66" s="1054"/>
      <c r="M66" s="1055"/>
    </row>
    <row r="67" spans="4:15" ht="18.75" customHeight="1">
      <c r="D67" s="1025"/>
      <c r="E67" s="1462"/>
      <c r="F67" s="1061" t="str">
        <f>IF(F65=$S$15,$T$10,IF(ROUNDDOWN(F65,0)=$S$10,$U$10,$T$10))</f>
        <v>　レベル　1</v>
      </c>
      <c r="G67" s="1472" t="str">
        <f>IF(G65=$S$15,"",IF(ROUNDDOWN(G65,0)=$S$10,$U$10,$T$10))</f>
        <v>　レベル　1</v>
      </c>
      <c r="H67" s="1475" t="s">
        <v>2738</v>
      </c>
      <c r="I67" s="2249"/>
      <c r="J67" s="2348"/>
      <c r="K67" s="2293" t="s">
        <v>3240</v>
      </c>
      <c r="L67" s="2346"/>
      <c r="M67" s="2341"/>
    </row>
    <row r="68" spans="4:15" ht="18.75" customHeight="1">
      <c r="D68" s="1025"/>
      <c r="E68" s="1462"/>
      <c r="F68" s="1209" t="str">
        <f>IF(F65=$S$15,$T$11,IF(ROUNDDOWN(F65,0)=$S$11,$U$11,$T$11))</f>
        <v>　レベル　2</v>
      </c>
      <c r="G68" s="1473" t="str">
        <f>IF(G65=$S$15,"",IF(ROUNDDOWN(G65,0)=$S$11,$U$11,$T$11))</f>
        <v>　レベル　2</v>
      </c>
      <c r="H68" s="1476" t="s">
        <v>2739</v>
      </c>
      <c r="I68" s="1505"/>
      <c r="J68" s="2350" t="s">
        <v>1135</v>
      </c>
      <c r="K68" s="1223" t="s">
        <v>2367</v>
      </c>
      <c r="L68" s="1224"/>
      <c r="M68" s="2294"/>
    </row>
    <row r="69" spans="4:15" ht="18.75" customHeight="1">
      <c r="D69" s="1025"/>
      <c r="E69" s="1462"/>
      <c r="F69" s="1209" t="str">
        <f>IF(F65=$S$15,$T$12,IF(ROUNDDOWN(F65,0)=$S$12,$U$12,$T$12))</f>
        <v>　レベル　3</v>
      </c>
      <c r="G69" s="1473" t="str">
        <f>IF(G65=$S$15,"",IF(ROUNDDOWN(G65,0)=$S$12,$U$12,$T$12))</f>
        <v>　レベル　3</v>
      </c>
      <c r="H69" s="1476" t="s">
        <v>2740</v>
      </c>
      <c r="I69" s="1505"/>
      <c r="J69" s="2349" t="s">
        <v>1136</v>
      </c>
      <c r="K69" s="1223" t="s">
        <v>2368</v>
      </c>
      <c r="L69" s="1224"/>
      <c r="M69" s="2294"/>
    </row>
    <row r="70" spans="4:15" ht="18.75" customHeight="1">
      <c r="D70" s="1025"/>
      <c r="E70" s="1462"/>
      <c r="F70" s="1209" t="str">
        <f>IF(F65=$S$15,$T$13,IF(ROUNDDOWN(F65,0)=$S$13,$U$13,$T$13))</f>
        <v>■レベル　4</v>
      </c>
      <c r="G70" s="1473" t="str">
        <f>IF(G65=$S$15,"",IF(ROUNDDOWN(G65,0)=$S$13,$U$13,$T$13))</f>
        <v>■レベル　4</v>
      </c>
      <c r="H70" s="1476" t="s">
        <v>2741</v>
      </c>
      <c r="I70" s="1505"/>
      <c r="J70" s="2350" t="s">
        <v>1137</v>
      </c>
      <c r="K70" s="1223" t="s">
        <v>2369</v>
      </c>
      <c r="L70" s="1224"/>
      <c r="M70" s="2294"/>
    </row>
    <row r="71" spans="4:15" ht="18.75" customHeight="1">
      <c r="D71" s="1025"/>
      <c r="E71" s="1462"/>
      <c r="F71" s="1501" t="str">
        <f>IF(F65=$S$15,$T$14,IF(ROUNDDOWN(F65,0)=$S$14,$U$14,$T$14))</f>
        <v>　レベル　5</v>
      </c>
      <c r="G71" s="1474" t="str">
        <f>IF(G65=$S$15,"",IF(ROUNDDOWN(G65,0)=$S$14,$U$14,$T$14))</f>
        <v>　レベル　5</v>
      </c>
      <c r="H71" s="1477" t="s">
        <v>2742</v>
      </c>
      <c r="I71" s="1508"/>
      <c r="J71" s="2351"/>
      <c r="K71" s="1198" t="s">
        <v>2724</v>
      </c>
      <c r="L71" s="2347"/>
      <c r="M71" s="2342"/>
    </row>
    <row r="72" spans="4:15"/>
    <row r="73" spans="4:15" ht="18.75" customHeight="1" thickBot="1">
      <c r="F73" s="1286" t="s">
        <v>2054</v>
      </c>
      <c r="G73" s="1481"/>
      <c r="H73" s="1481"/>
      <c r="I73" s="1481"/>
      <c r="J73" s="1481"/>
      <c r="K73" s="1481"/>
      <c r="L73" s="1481"/>
      <c r="M73" s="1481"/>
      <c r="N73" s="1481"/>
      <c r="O73" s="1285">
        <f>メイン!C64</f>
        <v>0</v>
      </c>
    </row>
    <row r="74" spans="4:15" ht="18.75" customHeight="1" thickBot="1">
      <c r="F74" s="2295">
        <f>ROUNDDOWN(計画書!M31,1)</f>
        <v>0</v>
      </c>
      <c r="G74" s="1500">
        <f>ROUNDDOWN(計画書!M27,1)</f>
        <v>0</v>
      </c>
      <c r="H74" s="1042" t="s">
        <v>719</v>
      </c>
      <c r="I74" s="2336"/>
      <c r="J74" s="1285">
        <f>計画書!M29</f>
        <v>0</v>
      </c>
      <c r="K74" s="2313">
        <f>ROUNDDOWN(計画書!N27,1)</f>
        <v>0</v>
      </c>
      <c r="L74" s="1185" t="s">
        <v>1112</v>
      </c>
      <c r="M74" s="1044"/>
      <c r="N74" s="1044"/>
      <c r="O74" s="1285">
        <f>計画書!N29</f>
        <v>0</v>
      </c>
    </row>
    <row r="75" spans="4:15" ht="18.75" customHeight="1">
      <c r="F75" s="1504" t="str">
        <f>IF(F74=$S$15,"",IF(ROUNDDOWN(F74,0)=$S$10,$U$10,$T$10))</f>
        <v/>
      </c>
      <c r="G75" s="1504" t="str">
        <f>IF(G74=$S$15,"",IF(ROUNDDOWN(G74,0)=$S$10,$U$10,$T$10))</f>
        <v/>
      </c>
      <c r="H75" s="1475" t="s">
        <v>2372</v>
      </c>
      <c r="I75" s="2249"/>
      <c r="J75" s="2348"/>
      <c r="K75" s="1504" t="str">
        <f>IF(K74=$S$15,"",IF(ROUNDDOWN(K74,0)=$S$10,$U$10,$T$10))</f>
        <v/>
      </c>
      <c r="L75" s="1475" t="s">
        <v>3226</v>
      </c>
      <c r="M75" s="2249"/>
      <c r="N75" s="2249"/>
      <c r="O75" s="2348"/>
    </row>
    <row r="76" spans="4:15" ht="18.75" customHeight="1">
      <c r="F76" s="1506" t="str">
        <f>IF(F74=$S$15,"",IF(ROUNDDOWN(F74,0)=$S$11,$U$11,$T$11))</f>
        <v/>
      </c>
      <c r="G76" s="1506" t="str">
        <f>IF(G74=$S$15,"",IF(ROUNDDOWN(G74,0)=$S$11,$U$11,$T$11))</f>
        <v/>
      </c>
      <c r="H76" s="1476" t="s">
        <v>2739</v>
      </c>
      <c r="I76" s="1505"/>
      <c r="J76" s="2350" t="s">
        <v>1135</v>
      </c>
      <c r="K76" s="1506" t="str">
        <f>IF(K74=$S$15,"",IF(ROUNDDOWN(K74,0)=$S$11,$U$11,$T$11))</f>
        <v/>
      </c>
      <c r="L76" s="1476" t="s">
        <v>3227</v>
      </c>
      <c r="M76" s="1505"/>
      <c r="N76" s="1505"/>
      <c r="O76" s="2350" t="s">
        <v>1135</v>
      </c>
    </row>
    <row r="77" spans="4:15" ht="18.75" customHeight="1">
      <c r="F77" s="1506" t="str">
        <f>IF(F74=$S$15,"",IF(ROUNDDOWN(F74,0)=$S$12,$U$12,$T$12))</f>
        <v/>
      </c>
      <c r="G77" s="1506" t="str">
        <f>IF(G74=$S$15,"",IF(ROUNDDOWN(G74,0)=$S$12,$U$12,$T$12))</f>
        <v/>
      </c>
      <c r="H77" s="1476" t="s">
        <v>2740</v>
      </c>
      <c r="I77" s="1505"/>
      <c r="J77" s="2349" t="s">
        <v>1136</v>
      </c>
      <c r="K77" s="1506" t="str">
        <f>IF(K74=$S$15,"",IF(ROUNDDOWN(K74,0)=$S$12,$U$12,$T$12))</f>
        <v/>
      </c>
      <c r="L77" s="1476" t="s">
        <v>3228</v>
      </c>
      <c r="M77" s="1505"/>
      <c r="N77" s="1505"/>
      <c r="O77" s="2349" t="s">
        <v>1136</v>
      </c>
    </row>
    <row r="78" spans="4:15" ht="32.25" customHeight="1">
      <c r="F78" s="1506" t="str">
        <f>IF(F74=$S$15,"",IF(ROUNDDOWN(F74,0)=$S$13,$U$13,$T$13))</f>
        <v/>
      </c>
      <c r="G78" s="1506" t="str">
        <f>IF(G74=$S$15,"",IF(ROUNDDOWN(G74,0)=$S$13,$U$13,$T$13))</f>
        <v/>
      </c>
      <c r="H78" s="1476" t="s">
        <v>2741</v>
      </c>
      <c r="I78" s="1505"/>
      <c r="J78" s="2350" t="s">
        <v>1137</v>
      </c>
      <c r="K78" s="1506" t="str">
        <f>IF(K74=$S$15,"",IF(ROUNDDOWN(K74,0)=$S$13,$U$13,$T$13))</f>
        <v/>
      </c>
      <c r="L78" s="3178" t="s">
        <v>3230</v>
      </c>
      <c r="M78" s="3179"/>
      <c r="N78" s="3180"/>
      <c r="O78" s="2350" t="s">
        <v>1137</v>
      </c>
    </row>
    <row r="79" spans="4:15" ht="31.5" customHeight="1">
      <c r="F79" s="1507" t="str">
        <f>IF(F74=$S$15,"",IF(ROUNDDOWN(F74,0)=$S$14,$U$14,$T$14))</f>
        <v/>
      </c>
      <c r="G79" s="1507" t="str">
        <f>IF(G74=$S$15,"",IF(ROUNDDOWN(G74,0)=$S$14,$U$14,$T$14))</f>
        <v/>
      </c>
      <c r="H79" s="1477" t="s">
        <v>2742</v>
      </c>
      <c r="I79" s="1508"/>
      <c r="J79" s="2351"/>
      <c r="K79" s="1507" t="str">
        <f>IF(K74=$S$15,"",IF(ROUNDDOWN(K74,0)=$S$14,$U$14,$T$14))</f>
        <v/>
      </c>
      <c r="L79" s="3172" t="s">
        <v>3229</v>
      </c>
      <c r="M79" s="3173"/>
      <c r="N79" s="3174"/>
      <c r="O79" s="2351"/>
    </row>
    <row r="80" spans="4:15" hidden="1"/>
    <row r="81" spans="4:15">
      <c r="G81" s="1598" t="s">
        <v>3224</v>
      </c>
    </row>
    <row r="82" spans="4:15">
      <c r="G82" s="2365" t="s">
        <v>3325</v>
      </c>
      <c r="H82" s="2366"/>
      <c r="I82" s="2366"/>
      <c r="J82" s="2366"/>
      <c r="K82" s="2366"/>
      <c r="L82" s="2366"/>
      <c r="M82" s="2366"/>
      <c r="N82" s="2366"/>
      <c r="O82" s="2367"/>
    </row>
    <row r="83" spans="4:15">
      <c r="G83" s="2373" t="s">
        <v>3326</v>
      </c>
      <c r="H83" s="2368"/>
      <c r="I83" s="2368"/>
      <c r="J83" s="2368"/>
      <c r="K83" s="2368"/>
      <c r="L83" s="2368"/>
      <c r="M83" s="2368"/>
      <c r="N83" s="2368"/>
      <c r="O83" s="2369"/>
    </row>
    <row r="84" spans="4:15">
      <c r="G84" s="2370" t="s">
        <v>2560</v>
      </c>
      <c r="H84" s="2371"/>
      <c r="I84" s="2371"/>
      <c r="J84" s="2371"/>
      <c r="K84" s="2371"/>
      <c r="L84" s="2371"/>
      <c r="M84" s="2371"/>
      <c r="N84" s="2371"/>
      <c r="O84" s="2372"/>
    </row>
    <row r="85" spans="4:15" ht="13.5" hidden="1" customHeight="1"/>
    <row r="86" spans="4:15" s="2678" customFormat="1" ht="15.75" hidden="1" customHeight="1">
      <c r="D86" s="1465"/>
      <c r="E86" s="1263"/>
      <c r="F86" s="1465" t="s">
        <v>3327</v>
      </c>
      <c r="G86" s="144"/>
      <c r="H86" s="144"/>
      <c r="I86" s="144"/>
      <c r="J86" s="2680"/>
      <c r="K86" s="144"/>
      <c r="L86" s="144"/>
      <c r="M86" s="2203"/>
      <c r="N86" s="2203"/>
      <c r="O86" s="2203"/>
    </row>
    <row r="87" spans="4:15" s="2678" customFormat="1" ht="13.5" hidden="1" customHeight="1">
      <c r="D87" s="2566"/>
      <c r="E87" s="2680"/>
      <c r="F87" s="2680" t="s">
        <v>3258</v>
      </c>
      <c r="G87" s="144"/>
      <c r="H87" s="144"/>
      <c r="I87" s="144"/>
      <c r="J87" s="144"/>
      <c r="K87" s="144"/>
      <c r="L87" s="144"/>
      <c r="M87" s="2203"/>
      <c r="N87" s="2203"/>
      <c r="O87" s="2203"/>
    </row>
    <row r="88" spans="4:15" s="2678" customFormat="1" ht="13.5" hidden="1" customHeight="1">
      <c r="D88" s="2566"/>
      <c r="E88" s="2680"/>
      <c r="F88" s="1500">
        <f>計画書!I32</f>
        <v>3</v>
      </c>
      <c r="G88" s="2701" t="s">
        <v>3328</v>
      </c>
      <c r="H88" s="2702"/>
      <c r="I88" s="2702"/>
      <c r="J88" s="2702"/>
      <c r="K88" s="2703">
        <v>1</v>
      </c>
      <c r="L88" s="2681"/>
      <c r="M88" s="2203"/>
      <c r="N88" s="2203"/>
      <c r="O88" s="2203"/>
    </row>
    <row r="89" spans="4:15" s="2678" customFormat="1" ht="13.5" hidden="1" customHeight="1">
      <c r="D89" s="2566"/>
      <c r="E89" s="2203"/>
      <c r="F89" s="144"/>
      <c r="G89" s="2701" t="s">
        <v>3329</v>
      </c>
      <c r="H89" s="2702"/>
      <c r="I89" s="2702"/>
      <c r="J89" s="2702"/>
      <c r="K89" s="2703" t="s">
        <v>3330</v>
      </c>
      <c r="L89" s="2681"/>
      <c r="M89" s="2203"/>
      <c r="N89" s="2203"/>
      <c r="O89" s="2203"/>
    </row>
    <row r="90" spans="4:15" s="2678" customFormat="1" ht="14.25" hidden="1" customHeight="1" thickBot="1">
      <c r="D90" s="2566"/>
      <c r="E90" s="2203"/>
      <c r="F90" s="144"/>
      <c r="G90" s="2704"/>
      <c r="H90" s="2704"/>
      <c r="I90" s="2704"/>
      <c r="J90" s="2704"/>
      <c r="K90" s="2705"/>
      <c r="L90" s="2681"/>
      <c r="M90" s="2203"/>
      <c r="N90" s="2203"/>
      <c r="O90" s="2203"/>
    </row>
    <row r="91" spans="4:15" s="2681" customFormat="1" ht="14.25" hidden="1" customHeight="1" thickBot="1">
      <c r="D91" s="2566"/>
      <c r="E91" s="2203"/>
      <c r="F91" s="2680" t="s">
        <v>3259</v>
      </c>
      <c r="G91" s="144"/>
      <c r="I91" s="2706"/>
      <c r="J91" s="144"/>
      <c r="K91" s="144"/>
      <c r="L91" s="144"/>
      <c r="M91" s="2203"/>
      <c r="N91" s="2203"/>
      <c r="O91" s="2203"/>
    </row>
    <row r="92" spans="4:15" s="2681" customFormat="1" ht="13.5" hidden="1" customHeight="1">
      <c r="D92" s="2566"/>
      <c r="E92" s="2203"/>
      <c r="F92" s="1500">
        <f>計画書!I33</f>
        <v>0</v>
      </c>
      <c r="G92" s="2707" t="s">
        <v>3331</v>
      </c>
      <c r="H92" s="2708" t="s">
        <v>3332</v>
      </c>
      <c r="I92" s="2708" t="s">
        <v>3333</v>
      </c>
      <c r="J92" s="2708" t="s">
        <v>3334</v>
      </c>
      <c r="K92" s="144"/>
      <c r="L92" s="144"/>
      <c r="M92" s="2203"/>
      <c r="N92" s="2203"/>
      <c r="O92" s="2203"/>
    </row>
    <row r="93" spans="4:15" s="2681" customFormat="1" ht="13.5" hidden="1" customHeight="1">
      <c r="D93" s="2566"/>
      <c r="E93" s="2203"/>
      <c r="F93" s="144"/>
      <c r="G93" s="2709" t="s">
        <v>3335</v>
      </c>
      <c r="H93" s="2703">
        <v>2</v>
      </c>
      <c r="I93" s="2703">
        <v>1</v>
      </c>
      <c r="J93" s="2703">
        <v>1</v>
      </c>
      <c r="K93" s="144"/>
      <c r="L93" s="144"/>
      <c r="M93" s="2203"/>
      <c r="N93" s="2203"/>
      <c r="O93" s="2203"/>
    </row>
    <row r="94" spans="4:15" s="2681" customFormat="1" ht="13.5" hidden="1" customHeight="1">
      <c r="D94" s="2566"/>
      <c r="E94" s="2203"/>
      <c r="F94" s="144"/>
      <c r="G94" s="2709" t="s">
        <v>3336</v>
      </c>
      <c r="H94" s="2703">
        <v>2.5</v>
      </c>
      <c r="I94" s="2703">
        <v>1.5</v>
      </c>
      <c r="J94" s="2703">
        <v>1</v>
      </c>
      <c r="K94" s="144"/>
      <c r="L94" s="2710"/>
      <c r="M94" s="2203"/>
      <c r="N94" s="2203"/>
      <c r="O94" s="2203"/>
    </row>
    <row r="95" spans="4:15" s="2681" customFormat="1" ht="13.5" hidden="1" customHeight="1">
      <c r="D95" s="2566"/>
      <c r="E95" s="2203"/>
      <c r="F95" s="144"/>
      <c r="G95" s="2709" t="s">
        <v>3337</v>
      </c>
      <c r="H95" s="2703">
        <v>3</v>
      </c>
      <c r="I95" s="2703">
        <v>2</v>
      </c>
      <c r="J95" s="2703">
        <v>1</v>
      </c>
      <c r="K95" s="144"/>
      <c r="L95" s="144"/>
      <c r="M95" s="2203"/>
      <c r="N95" s="2203"/>
      <c r="O95" s="2203"/>
    </row>
    <row r="96" spans="4:15" s="2681" customFormat="1" ht="13.5" hidden="1" customHeight="1">
      <c r="D96" s="2566"/>
      <c r="E96" s="2203"/>
      <c r="F96" s="144"/>
      <c r="G96" s="2709" t="s">
        <v>3338</v>
      </c>
      <c r="H96" s="2703">
        <v>3.5</v>
      </c>
      <c r="I96" s="2703">
        <v>2.5</v>
      </c>
      <c r="J96" s="2703">
        <v>1.5</v>
      </c>
      <c r="K96" s="144"/>
      <c r="L96" s="144"/>
      <c r="M96" s="2203"/>
      <c r="N96" s="2203"/>
      <c r="O96" s="2203"/>
    </row>
    <row r="97" spans="2:15" s="2681" customFormat="1" ht="13.5" hidden="1" customHeight="1">
      <c r="D97" s="2566"/>
      <c r="E97" s="2203"/>
      <c r="F97" s="144"/>
      <c r="G97" s="2709" t="s">
        <v>3339</v>
      </c>
      <c r="H97" s="2703">
        <v>4</v>
      </c>
      <c r="I97" s="2703">
        <v>3</v>
      </c>
      <c r="J97" s="2703">
        <v>2</v>
      </c>
      <c r="K97" s="144"/>
      <c r="L97" s="144"/>
      <c r="M97" s="2203"/>
      <c r="N97" s="2203"/>
      <c r="O97" s="2203"/>
    </row>
    <row r="98" spans="2:15" s="2681" customFormat="1" ht="13.5" hidden="1" customHeight="1">
      <c r="D98" s="2566"/>
      <c r="E98" s="2203"/>
      <c r="F98" s="144"/>
      <c r="G98" s="2709" t="s">
        <v>3340</v>
      </c>
      <c r="H98" s="2703">
        <v>4.5</v>
      </c>
      <c r="I98" s="2703">
        <v>3.5</v>
      </c>
      <c r="J98" s="2703">
        <v>2.5</v>
      </c>
      <c r="K98" s="144"/>
      <c r="L98" s="144"/>
      <c r="M98" s="2203"/>
      <c r="N98" s="2203"/>
      <c r="O98" s="2203"/>
    </row>
    <row r="99" spans="2:15" s="2681" customFormat="1" ht="13.5" hidden="1" customHeight="1">
      <c r="D99" s="2566"/>
      <c r="E99" s="2203"/>
      <c r="F99" s="144"/>
      <c r="G99" s="2711">
        <v>4</v>
      </c>
      <c r="H99" s="2703">
        <v>5</v>
      </c>
      <c r="I99" s="2703">
        <v>4</v>
      </c>
      <c r="J99" s="2703">
        <v>3</v>
      </c>
      <c r="K99" s="144"/>
      <c r="L99" s="144"/>
      <c r="M99" s="2203"/>
      <c r="N99" s="2203"/>
      <c r="O99" s="2203"/>
    </row>
    <row r="100" spans="2:15" ht="14.25" hidden="1" customHeight="1">
      <c r="F100" s="1263" t="s">
        <v>2396</v>
      </c>
      <c r="G100" s="2204"/>
      <c r="H100" s="2204"/>
      <c r="I100" s="2205"/>
      <c r="J100" s="1462"/>
      <c r="K100" s="1463"/>
    </row>
    <row r="101" spans="2:15" ht="14.25" hidden="1" customHeight="1" thickBot="1">
      <c r="B101" t="s">
        <v>1444</v>
      </c>
      <c r="F101" s="1185" t="s">
        <v>862</v>
      </c>
      <c r="G101" s="1043"/>
      <c r="H101" s="1044"/>
      <c r="I101" s="1045" t="s">
        <v>1484</v>
      </c>
      <c r="J101" s="1046">
        <v>0.5</v>
      </c>
      <c r="K101" s="1186"/>
      <c r="L101" s="1186"/>
      <c r="M101" s="1186"/>
      <c r="N101" s="1186"/>
      <c r="O101" s="1055"/>
    </row>
    <row r="102" spans="2:15" ht="14.25" hidden="1" customHeight="1" thickBot="1">
      <c r="B102" s="1332">
        <v>0</v>
      </c>
      <c r="F102" s="1049">
        <v>0</v>
      </c>
      <c r="G102" s="1137" t="s">
        <v>2125</v>
      </c>
      <c r="H102" s="1137"/>
      <c r="I102" s="1137"/>
      <c r="J102" s="1137"/>
      <c r="K102" s="1137"/>
      <c r="L102" s="1137"/>
      <c r="M102" s="1151"/>
      <c r="N102" s="1166" t="s">
        <v>1440</v>
      </c>
      <c r="O102" s="1055"/>
    </row>
    <row r="103" spans="2:15" ht="13.5" hidden="1" customHeight="1">
      <c r="B103" s="1" t="s">
        <v>3105</v>
      </c>
      <c r="C103" s="1">
        <v>1</v>
      </c>
      <c r="F103" s="1472" t="str">
        <f>IF(F102=$S$15,"",IF(ROUNDDOWN(F102,0)=$S$10,$U$10,$T$10))</f>
        <v/>
      </c>
      <c r="G103" s="1058" t="s">
        <v>2365</v>
      </c>
      <c r="H103" s="1503"/>
      <c r="I103" s="1503"/>
      <c r="J103" s="1503"/>
      <c r="K103" s="1503"/>
      <c r="L103" s="1503"/>
      <c r="M103" s="1503"/>
      <c r="N103" s="2959"/>
      <c r="O103" s="3189"/>
    </row>
    <row r="104" spans="2:15" ht="13.5" hidden="1" customHeight="1">
      <c r="B104" s="1">
        <v>2</v>
      </c>
      <c r="C104" s="1">
        <v>3</v>
      </c>
      <c r="F104" s="1473" t="str">
        <f>IF(F102=$S$15,"",IF(ROUNDDOWN(F102,0)=$S$11,$U$11,$T$11))</f>
        <v/>
      </c>
      <c r="G104" s="1065" t="s">
        <v>2421</v>
      </c>
      <c r="H104" s="1503"/>
      <c r="I104" s="1503"/>
      <c r="J104" s="1503"/>
      <c r="K104" s="1503"/>
      <c r="L104" s="1503"/>
      <c r="M104" s="1503"/>
      <c r="N104" s="3190"/>
      <c r="O104" s="3191"/>
    </row>
    <row r="105" spans="2:15" ht="13.5" hidden="1" customHeight="1">
      <c r="B105" s="1">
        <v>3</v>
      </c>
      <c r="C105" s="1">
        <v>3</v>
      </c>
      <c r="F105" s="1473" t="str">
        <f>IF(F102=$S$15,"",IF(ROUNDDOWN(F102,0)=$S$12,$U$12,$T$12))</f>
        <v/>
      </c>
      <c r="G105" s="1065" t="s">
        <v>2422</v>
      </c>
      <c r="H105" s="1503"/>
      <c r="I105" s="1503"/>
      <c r="J105" s="1503"/>
      <c r="K105" s="1503"/>
      <c r="L105" s="1503"/>
      <c r="M105" s="1503"/>
      <c r="N105" s="3190"/>
      <c r="O105" s="3191"/>
    </row>
    <row r="106" spans="2:15" ht="13.5" hidden="1" customHeight="1">
      <c r="B106" s="1">
        <v>4</v>
      </c>
      <c r="C106" s="1">
        <v>4</v>
      </c>
      <c r="F106" s="1473" t="str">
        <f>IF(F102=$S$15,"",IF(ROUNDDOWN(F102,0)=$S$13,$U$13,$T$13))</f>
        <v/>
      </c>
      <c r="G106" s="1065" t="s">
        <v>2423</v>
      </c>
      <c r="H106" s="1503"/>
      <c r="I106" s="1503"/>
      <c r="J106" s="1503"/>
      <c r="K106" s="1503"/>
      <c r="L106" s="1503"/>
      <c r="M106" s="1503"/>
      <c r="N106" s="3190"/>
      <c r="O106" s="3191"/>
    </row>
    <row r="107" spans="2:15" ht="13.5" hidden="1" customHeight="1">
      <c r="B107" s="1">
        <v>5</v>
      </c>
      <c r="C107" s="1">
        <v>5</v>
      </c>
      <c r="F107" s="1474" t="str">
        <f>IF(F102=$S$15,"",IF(ROUNDDOWN(F102,0)=$S$14,$U$14,$T$14))</f>
        <v/>
      </c>
      <c r="G107" s="1076" t="s">
        <v>2589</v>
      </c>
      <c r="H107" s="1077"/>
      <c r="I107" s="1077"/>
      <c r="J107" s="1077"/>
      <c r="K107" s="1077"/>
      <c r="L107" s="1077"/>
      <c r="M107" s="1077"/>
      <c r="N107" s="3192"/>
      <c r="O107" s="3193"/>
    </row>
    <row r="108" spans="2:15" ht="13.5" hidden="1" customHeight="1">
      <c r="B108" s="1079">
        <v>0</v>
      </c>
      <c r="C108" s="1079">
        <v>0</v>
      </c>
    </row>
    <row r="109" spans="2:15" ht="14.25" hidden="1" customHeight="1">
      <c r="F109" s="1263" t="s">
        <v>2590</v>
      </c>
      <c r="G109" s="1462"/>
      <c r="H109" s="1462" t="s">
        <v>1480</v>
      </c>
      <c r="I109" s="1462"/>
    </row>
    <row r="110" spans="2:15" ht="13.5" hidden="1" customHeight="1"/>
    <row r="111" spans="2:15" ht="15.75" hidden="1" customHeight="1">
      <c r="F111" s="1263" t="s">
        <v>2591</v>
      </c>
      <c r="G111" s="1499"/>
      <c r="H111" s="1263"/>
      <c r="I111" s="1463"/>
      <c r="K111" s="1463"/>
    </row>
    <row r="112" spans="2:15" ht="14.25" hidden="1" customHeight="1" thickBot="1">
      <c r="B112" t="s">
        <v>1444</v>
      </c>
      <c r="F112" s="1185" t="s">
        <v>862</v>
      </c>
      <c r="G112" s="1043"/>
      <c r="H112" s="1044"/>
      <c r="I112" s="1045" t="s">
        <v>1484</v>
      </c>
      <c r="J112" s="1046">
        <v>0.5</v>
      </c>
      <c r="K112" s="1186"/>
      <c r="L112" s="1186"/>
      <c r="M112" s="1186"/>
      <c r="N112" s="1186"/>
      <c r="O112" s="1055"/>
    </row>
    <row r="113" spans="2:15" ht="14.25" hidden="1" customHeight="1" thickBot="1">
      <c r="B113" s="1332">
        <v>0</v>
      </c>
      <c r="F113" s="1049">
        <v>0</v>
      </c>
      <c r="G113" s="1137" t="s">
        <v>2125</v>
      </c>
      <c r="H113" s="1137"/>
      <c r="I113" s="1137"/>
      <c r="J113" s="1137"/>
      <c r="K113" s="1137"/>
      <c r="L113" s="1137"/>
      <c r="M113" s="1151"/>
      <c r="N113" s="1166" t="s">
        <v>1440</v>
      </c>
      <c r="O113" s="1055"/>
    </row>
    <row r="114" spans="2:15" ht="13.5" hidden="1" customHeight="1">
      <c r="B114" s="1" t="s">
        <v>3105</v>
      </c>
      <c r="C114" s="1">
        <v>1</v>
      </c>
      <c r="F114" s="1472" t="str">
        <f>IF(F113=$S$15,"",IF(ROUNDDOWN(F113,0)=$S$10,$U$10,$T$10))</f>
        <v/>
      </c>
      <c r="G114" s="1058" t="s">
        <v>2365</v>
      </c>
      <c r="H114" s="1503"/>
      <c r="I114" s="1503"/>
      <c r="J114" s="1503"/>
      <c r="K114" s="1503"/>
      <c r="L114" s="1503"/>
      <c r="M114" s="1503"/>
      <c r="N114" s="2959" t="s">
        <v>2424</v>
      </c>
      <c r="O114" s="3189"/>
    </row>
    <row r="115" spans="2:15" ht="13.5" hidden="1" customHeight="1">
      <c r="B115" s="1">
        <v>2</v>
      </c>
      <c r="C115" s="1">
        <v>3</v>
      </c>
      <c r="F115" s="1473" t="str">
        <f>IF(F113=$S$15,"",IF(ROUNDDOWN(F113,0)=$S$11,$U$11,$T$11))</f>
        <v/>
      </c>
      <c r="G115" s="1065" t="s">
        <v>2425</v>
      </c>
      <c r="H115" s="1503"/>
      <c r="I115" s="1503"/>
      <c r="J115" s="1503"/>
      <c r="K115" s="1503"/>
      <c r="L115" s="1503"/>
      <c r="M115" s="1503"/>
      <c r="N115" s="3190"/>
      <c r="O115" s="3191"/>
    </row>
    <row r="116" spans="2:15" ht="13.5" hidden="1" customHeight="1">
      <c r="B116" s="1">
        <v>3</v>
      </c>
      <c r="C116" s="1">
        <v>3</v>
      </c>
      <c r="F116" s="1473" t="str">
        <f>IF(F113=$S$15,"",IF(ROUNDDOWN(F113,0)=$S$12,$U$12,$T$12))</f>
        <v/>
      </c>
      <c r="G116" s="1065" t="s">
        <v>2592</v>
      </c>
      <c r="H116" s="1503"/>
      <c r="I116" s="1503"/>
      <c r="J116" s="1503"/>
      <c r="K116" s="1503"/>
      <c r="L116" s="1503"/>
      <c r="M116" s="1503"/>
      <c r="N116" s="3190"/>
      <c r="O116" s="3191"/>
    </row>
    <row r="117" spans="2:15" ht="13.5" hidden="1" customHeight="1">
      <c r="B117" s="1">
        <v>4</v>
      </c>
      <c r="C117" s="1">
        <v>4</v>
      </c>
      <c r="F117" s="1473" t="str">
        <f>IF(F113=$S$15,"",IF(ROUNDDOWN(F113,0)=$S$13,$U$13,$T$13))</f>
        <v/>
      </c>
      <c r="G117" s="1065" t="s">
        <v>2426</v>
      </c>
      <c r="H117" s="1503"/>
      <c r="I117" s="1503"/>
      <c r="J117" s="1503"/>
      <c r="K117" s="1503"/>
      <c r="L117" s="1503"/>
      <c r="M117" s="1503"/>
      <c r="N117" s="3190"/>
      <c r="O117" s="3191"/>
    </row>
    <row r="118" spans="2:15" ht="13.5" hidden="1" customHeight="1">
      <c r="B118" s="1">
        <v>5</v>
      </c>
      <c r="C118" s="1">
        <v>5</v>
      </c>
      <c r="F118" s="1474" t="str">
        <f>IF(F113=$S$15,"",IF(ROUNDDOWN(F113,0)=$S$14,$U$14,$T$14))</f>
        <v/>
      </c>
      <c r="G118" s="1076" t="s">
        <v>2427</v>
      </c>
      <c r="H118" s="1077"/>
      <c r="I118" s="1077"/>
      <c r="J118" s="1077"/>
      <c r="K118" s="1077"/>
      <c r="L118" s="1077"/>
      <c r="M118" s="1077"/>
      <c r="N118" s="3192"/>
      <c r="O118" s="3193"/>
    </row>
    <row r="119" spans="2:15" ht="13.5" hidden="1" customHeight="1">
      <c r="B119" s="1079">
        <v>0</v>
      </c>
      <c r="C119" s="1079">
        <v>0</v>
      </c>
    </row>
    <row r="120" spans="2:15" ht="14.25" hidden="1" customHeight="1">
      <c r="F120" s="1263" t="s">
        <v>2593</v>
      </c>
      <c r="H120" s="1462" t="s">
        <v>1480</v>
      </c>
      <c r="I120" s="1462"/>
    </row>
    <row r="121" spans="2:15" ht="13.5" hidden="1" customHeight="1">
      <c r="I121" s="1462"/>
    </row>
    <row r="122" spans="2:15" ht="14.25" hidden="1" customHeight="1">
      <c r="F122" s="1263" t="s">
        <v>2594</v>
      </c>
      <c r="H122" s="1462" t="s">
        <v>1480</v>
      </c>
      <c r="I122" s="1462"/>
    </row>
    <row r="123" spans="2:15"/>
    <row r="124" spans="2:15" ht="15.75">
      <c r="D124" s="1465">
        <v>4</v>
      </c>
      <c r="E124" s="1263" t="s">
        <v>2815</v>
      </c>
      <c r="F124" s="1263"/>
      <c r="G124" s="1419"/>
      <c r="H124" s="1419"/>
      <c r="I124" s="1419"/>
      <c r="J124" s="1033"/>
      <c r="K124" s="1033"/>
      <c r="L124" s="1033"/>
      <c r="M124" s="1033"/>
      <c r="N124" s="1033"/>
      <c r="O124" s="1033"/>
    </row>
    <row r="125" spans="2:15" ht="15.75">
      <c r="D125" s="1465">
        <v>4.0999999999999996</v>
      </c>
      <c r="E125" s="1263" t="s">
        <v>1099</v>
      </c>
      <c r="F125" s="1263"/>
      <c r="J125" s="1119" t="str">
        <f>IF(OR(F127=0,AND(J126=0,O126=0)),$R$3,"")</f>
        <v/>
      </c>
    </row>
    <row r="126" spans="2:15" ht="15" thickBot="1">
      <c r="D126" s="2564"/>
      <c r="E126" s="1466"/>
      <c r="F126" s="1185"/>
      <c r="G126" s="1043"/>
      <c r="H126" s="1044"/>
      <c r="I126" s="1045" t="s">
        <v>1484</v>
      </c>
      <c r="J126" s="1046">
        <f>重み!M135</f>
        <v>0.5</v>
      </c>
      <c r="K126" s="1185"/>
      <c r="L126" s="1043"/>
      <c r="M126" s="1044"/>
      <c r="N126" s="1045" t="s">
        <v>1484</v>
      </c>
      <c r="O126" s="1048">
        <f>重み!M138</f>
        <v>0</v>
      </c>
    </row>
    <row r="127" spans="2:15" ht="26.25" customHeight="1" thickBot="1">
      <c r="D127" s="1025"/>
      <c r="E127" s="1462"/>
      <c r="F127" s="1049">
        <v>3</v>
      </c>
      <c r="G127" s="2332" t="s">
        <v>2816</v>
      </c>
      <c r="H127" s="1509"/>
      <c r="I127" s="1509"/>
      <c r="J127" s="1509"/>
      <c r="K127" s="1049">
        <v>3</v>
      </c>
      <c r="L127" s="1053" t="s">
        <v>2054</v>
      </c>
      <c r="M127" s="1054"/>
      <c r="N127" s="1054"/>
      <c r="O127" s="1055"/>
    </row>
    <row r="128" spans="2:15" ht="26.25" customHeight="1">
      <c r="B128" s="1" t="s">
        <v>3105</v>
      </c>
      <c r="C128" s="1" t="s">
        <v>3105</v>
      </c>
      <c r="D128" s="1025"/>
      <c r="E128" s="1462"/>
      <c r="F128" s="1056" t="str">
        <f>IF(F127=$S$15,$T$10,IF(ROUNDDOWN(F127,0)=$S$10,$U$10,$T$10))</f>
        <v>　レベル　1</v>
      </c>
      <c r="G128" s="1291" t="s">
        <v>1957</v>
      </c>
      <c r="H128" s="2310"/>
      <c r="I128" s="2310"/>
      <c r="J128" s="2310"/>
      <c r="K128" s="1056" t="str">
        <f>IF(K127=$S$15,$T$10,IF(ROUNDDOWN(K127,0)=$S$10,$U$10,$T$10))</f>
        <v>　レベル　1</v>
      </c>
      <c r="L128" s="2311" t="s">
        <v>1957</v>
      </c>
      <c r="M128" s="2320"/>
      <c r="N128" s="2320"/>
      <c r="O128" s="2321"/>
    </row>
    <row r="129" spans="2:15" ht="26.25" customHeight="1">
      <c r="B129" s="1" t="s">
        <v>3105</v>
      </c>
      <c r="C129" s="1" t="s">
        <v>3105</v>
      </c>
      <c r="D129" s="1025"/>
      <c r="E129" s="1462"/>
      <c r="F129" s="1209" t="str">
        <f>IF(F127=$S$15,$T$11,IF(ROUNDDOWN(F127,0)=$S$11,$U$11,$T$11))</f>
        <v>　レベル　2</v>
      </c>
      <c r="G129" s="1294" t="s">
        <v>1957</v>
      </c>
      <c r="H129" s="1503"/>
      <c r="I129" s="1503"/>
      <c r="J129" s="1503"/>
      <c r="K129" s="1209" t="str">
        <f>IF(K127=$S$15,$T$11,IF(ROUNDDOWN(K127,0)=$S$11,$U$11,$T$11))</f>
        <v>　レベル　2</v>
      </c>
      <c r="L129" s="1294" t="s">
        <v>1957</v>
      </c>
      <c r="M129" s="1295"/>
      <c r="N129" s="1295"/>
      <c r="O129" s="1296"/>
    </row>
    <row r="130" spans="2:15" ht="28.5" customHeight="1">
      <c r="B130" s="1">
        <v>3</v>
      </c>
      <c r="C130" s="1">
        <v>3</v>
      </c>
      <c r="D130" s="1025"/>
      <c r="E130" s="1462"/>
      <c r="F130" s="1209" t="str">
        <f>IF(F127=$S$15,$T$12,IF(ROUNDDOWN(F127,0)=$S$12,$U$12,$T$12))</f>
        <v>■レベル　3</v>
      </c>
      <c r="G130" s="2933" t="s">
        <v>2397</v>
      </c>
      <c r="H130" s="3152"/>
      <c r="I130" s="3152"/>
      <c r="J130" s="3154"/>
      <c r="K130" s="1209" t="str">
        <f>IF(K127=$S$15,$T$12,IF(ROUNDDOWN(K127,0)=$S$12,$U$12,$T$12))</f>
        <v>■レベル　3</v>
      </c>
      <c r="L130" s="1294" t="s">
        <v>218</v>
      </c>
      <c r="M130" s="1295"/>
      <c r="N130" s="1295"/>
      <c r="O130" s="1296"/>
    </row>
    <row r="131" spans="2:15" ht="33.75" customHeight="1">
      <c r="B131" s="1">
        <v>4</v>
      </c>
      <c r="C131" s="1">
        <v>4</v>
      </c>
      <c r="D131" s="1025"/>
      <c r="E131" s="1462"/>
      <c r="F131" s="1209" t="str">
        <f>IF(F127=$S$15,$T$13,IF(ROUNDDOWN(F127,0)=$S$13,$U$13,$T$13))</f>
        <v>　レベル　4</v>
      </c>
      <c r="G131" s="2933" t="s">
        <v>221</v>
      </c>
      <c r="H131" s="3152"/>
      <c r="I131" s="3152"/>
      <c r="J131" s="3154"/>
      <c r="K131" s="1209" t="str">
        <f>IF(K127=$S$15,$T$13,IF(ROUNDDOWN(K127,0)=$S$13,$U$13,$T$13))</f>
        <v>　レベル　4</v>
      </c>
      <c r="L131" s="2322" t="s">
        <v>219</v>
      </c>
      <c r="M131" s="2323"/>
      <c r="N131" s="2323"/>
      <c r="O131" s="2324"/>
    </row>
    <row r="132" spans="2:15" ht="33.75" customHeight="1">
      <c r="B132" s="1">
        <v>5</v>
      </c>
      <c r="C132" s="1">
        <v>5</v>
      </c>
      <c r="D132" s="1025"/>
      <c r="E132" s="1462"/>
      <c r="F132" s="1072" t="str">
        <f>IF(F127=$S$15,$T$14,IF(ROUNDDOWN(F127,0)=$S$14,$U$14,$T$14))</f>
        <v>　レベル　5</v>
      </c>
      <c r="G132" s="2978" t="s">
        <v>1102</v>
      </c>
      <c r="H132" s="3166"/>
      <c r="I132" s="3166"/>
      <c r="J132" s="3167"/>
      <c r="K132" s="1072" t="str">
        <f>IF(K127=$S$15,$T$14,IF(ROUNDDOWN(K127,0)=$S$14,$U$14,$T$14))</f>
        <v>　レベル　5</v>
      </c>
      <c r="L132" s="2978" t="s">
        <v>220</v>
      </c>
      <c r="M132" s="3166"/>
      <c r="N132" s="3166"/>
      <c r="O132" s="3167"/>
    </row>
    <row r="133" spans="2:15" ht="15.75">
      <c r="B133" s="1526"/>
      <c r="C133" s="1526"/>
      <c r="D133" s="1025"/>
      <c r="E133" s="1462"/>
      <c r="F133" s="577"/>
      <c r="G133" s="577" t="s">
        <v>1100</v>
      </c>
      <c r="H133" s="577"/>
      <c r="I133" s="577"/>
      <c r="J133" s="577"/>
      <c r="K133" s="1026"/>
      <c r="L133" s="1026"/>
      <c r="M133" s="1026"/>
      <c r="N133" s="1026"/>
      <c r="O133" s="1026"/>
    </row>
    <row r="134" spans="2:15" ht="15.75">
      <c r="B134" s="1526"/>
      <c r="C134" s="1526"/>
      <c r="D134" s="1025"/>
      <c r="E134" s="1462"/>
      <c r="F134" s="577"/>
      <c r="G134" s="577" t="s">
        <v>1101</v>
      </c>
      <c r="H134" s="577"/>
      <c r="I134" s="577"/>
      <c r="J134" s="577"/>
      <c r="K134" s="1026"/>
      <c r="L134" s="1026"/>
      <c r="M134" s="1026"/>
      <c r="N134" s="1026"/>
      <c r="O134" s="1026"/>
    </row>
    <row r="135" spans="2:15" ht="18.75" customHeight="1">
      <c r="D135" s="1025"/>
      <c r="E135" s="1462"/>
      <c r="F135" s="577" t="s">
        <v>3109</v>
      </c>
      <c r="G135" s="577"/>
      <c r="H135" s="577"/>
      <c r="I135" s="577"/>
      <c r="J135" s="1026"/>
      <c r="K135" s="1026"/>
      <c r="L135" s="1026"/>
      <c r="M135" s="1026"/>
      <c r="N135" s="1026"/>
      <c r="O135" s="1026"/>
    </row>
    <row r="136" spans="2:15" ht="16.5" customHeight="1">
      <c r="D136" s="1025"/>
      <c r="E136" s="1462"/>
      <c r="F136" s="3194" t="s">
        <v>3110</v>
      </c>
      <c r="G136" s="3195"/>
      <c r="H136" s="1510" t="s">
        <v>3111</v>
      </c>
      <c r="I136" s="1511"/>
      <c r="J136" s="1510" t="s">
        <v>3112</v>
      </c>
      <c r="K136" s="1511"/>
      <c r="L136" s="1511"/>
      <c r="M136" s="1512"/>
      <c r="N136" s="1513" t="s">
        <v>3113</v>
      </c>
      <c r="O136" s="1514"/>
    </row>
    <row r="137" spans="2:15" ht="16.5" customHeight="1">
      <c r="D137" s="1025"/>
      <c r="E137" s="1462"/>
      <c r="F137" s="3163">
        <v>1</v>
      </c>
      <c r="G137" s="3163" t="s">
        <v>3114</v>
      </c>
      <c r="H137" s="1516" t="s">
        <v>3115</v>
      </c>
      <c r="I137" s="1517"/>
      <c r="J137" s="1516" t="s">
        <v>475</v>
      </c>
      <c r="K137" s="1517"/>
      <c r="L137" s="1517"/>
      <c r="M137" s="1518"/>
      <c r="N137" s="1516"/>
      <c r="O137" s="1518"/>
    </row>
    <row r="138" spans="2:15" ht="16.5" customHeight="1">
      <c r="D138" s="1025"/>
      <c r="E138" s="1462"/>
      <c r="F138" s="3163"/>
      <c r="G138" s="3163"/>
      <c r="H138" s="1516" t="s">
        <v>3117</v>
      </c>
      <c r="I138" s="1517"/>
      <c r="J138" s="1516" t="s">
        <v>3118</v>
      </c>
      <c r="K138" s="1517"/>
      <c r="L138" s="1517"/>
      <c r="M138" s="1518"/>
      <c r="N138" s="1516" t="s">
        <v>3119</v>
      </c>
      <c r="O138" s="1518"/>
    </row>
    <row r="139" spans="2:15" ht="16.5" customHeight="1">
      <c r="D139" s="1025"/>
      <c r="E139" s="1462"/>
      <c r="F139" s="3163"/>
      <c r="G139" s="3163"/>
      <c r="H139" s="1516" t="s">
        <v>3120</v>
      </c>
      <c r="I139" s="1517"/>
      <c r="J139" s="1516" t="s">
        <v>2943</v>
      </c>
      <c r="K139" s="1517"/>
      <c r="L139" s="1517"/>
      <c r="M139" s="1518"/>
      <c r="N139" s="1516"/>
      <c r="O139" s="1518"/>
    </row>
    <row r="140" spans="2:15" ht="16.5" customHeight="1">
      <c r="D140" s="1025"/>
      <c r="E140" s="1462"/>
      <c r="F140" s="3196">
        <v>2</v>
      </c>
      <c r="G140" s="3196" t="s">
        <v>1384</v>
      </c>
      <c r="H140" s="1516" t="s">
        <v>2944</v>
      </c>
      <c r="I140" s="1517"/>
      <c r="J140" s="1516" t="s">
        <v>2945</v>
      </c>
      <c r="K140" s="1517"/>
      <c r="L140" s="1517"/>
      <c r="M140" s="1518"/>
      <c r="N140" s="1516"/>
      <c r="O140" s="1518"/>
    </row>
    <row r="141" spans="2:15" ht="16.5" customHeight="1">
      <c r="D141" s="1025"/>
      <c r="E141" s="1462"/>
      <c r="F141" s="3197"/>
      <c r="G141" s="3197"/>
      <c r="H141" s="1516" t="s">
        <v>2946</v>
      </c>
      <c r="I141" s="1517"/>
      <c r="J141" s="1516" t="s">
        <v>2947</v>
      </c>
      <c r="K141" s="1517"/>
      <c r="L141" s="1517"/>
      <c r="M141" s="1518"/>
      <c r="N141" s="1516"/>
      <c r="O141" s="1518"/>
    </row>
    <row r="142" spans="2:15" ht="16.5" customHeight="1">
      <c r="D142" s="1025"/>
      <c r="E142" s="1462"/>
      <c r="F142" s="3197"/>
      <c r="G142" s="3197"/>
      <c r="H142" s="1516" t="s">
        <v>205</v>
      </c>
      <c r="I142" s="1517"/>
      <c r="J142" s="1516" t="s">
        <v>2947</v>
      </c>
      <c r="K142" s="1517"/>
      <c r="L142" s="1517"/>
      <c r="M142" s="1518"/>
      <c r="N142" s="1516"/>
      <c r="O142" s="1518"/>
    </row>
    <row r="143" spans="2:15" ht="16.5" customHeight="1">
      <c r="D143" s="1025"/>
      <c r="E143" s="1462"/>
      <c r="F143" s="3198"/>
      <c r="G143" s="3198"/>
      <c r="H143" s="1516" t="s">
        <v>1812</v>
      </c>
      <c r="I143" s="1517"/>
      <c r="J143" s="1516" t="s">
        <v>1813</v>
      </c>
      <c r="K143" s="1517"/>
      <c r="L143" s="1517"/>
      <c r="M143" s="1518"/>
      <c r="N143" s="1516"/>
      <c r="O143" s="1518"/>
    </row>
    <row r="144" spans="2:15" ht="16.5" customHeight="1">
      <c r="D144" s="1025"/>
      <c r="E144" s="1462"/>
      <c r="F144" s="1515">
        <v>3</v>
      </c>
      <c r="G144" s="1515" t="s">
        <v>1385</v>
      </c>
      <c r="H144" s="1516" t="s">
        <v>1814</v>
      </c>
      <c r="I144" s="1517"/>
      <c r="J144" s="1516"/>
      <c r="K144" s="1517"/>
      <c r="L144" s="1517"/>
      <c r="M144" s="1518"/>
      <c r="N144" s="1516"/>
      <c r="O144" s="1518"/>
    </row>
    <row r="145" spans="2:15" ht="16.5" customHeight="1">
      <c r="D145" s="1025"/>
      <c r="E145" s="1462"/>
      <c r="F145" s="1515">
        <v>4</v>
      </c>
      <c r="G145" s="1515" t="s">
        <v>1386</v>
      </c>
      <c r="H145" s="1516" t="s">
        <v>1815</v>
      </c>
      <c r="I145" s="1517"/>
      <c r="J145" s="1516" t="s">
        <v>1816</v>
      </c>
      <c r="K145" s="1517"/>
      <c r="L145" s="1517"/>
      <c r="M145" s="1518"/>
      <c r="N145" s="1516"/>
      <c r="O145" s="1518"/>
    </row>
    <row r="146" spans="2:15" ht="16.5" customHeight="1">
      <c r="D146" s="1025"/>
      <c r="E146" s="1462"/>
      <c r="F146" s="3163">
        <v>5</v>
      </c>
      <c r="G146" s="3163" t="s">
        <v>1387</v>
      </c>
      <c r="H146" s="1516" t="s">
        <v>3115</v>
      </c>
      <c r="I146" s="1517"/>
      <c r="J146" s="1516" t="s">
        <v>3116</v>
      </c>
      <c r="K146" s="1517"/>
      <c r="L146" s="1517"/>
      <c r="M146" s="1518"/>
      <c r="N146" s="1516"/>
      <c r="O146" s="1518"/>
    </row>
    <row r="147" spans="2:15" ht="16.5" customHeight="1">
      <c r="D147" s="1025"/>
      <c r="E147" s="1462"/>
      <c r="F147" s="3163"/>
      <c r="G147" s="3163"/>
      <c r="H147" s="1516" t="s">
        <v>3117</v>
      </c>
      <c r="I147" s="1517"/>
      <c r="J147" s="1516" t="s">
        <v>3118</v>
      </c>
      <c r="K147" s="1517"/>
      <c r="L147" s="1517"/>
      <c r="M147" s="1518"/>
      <c r="N147" s="1516"/>
      <c r="O147" s="1518"/>
    </row>
    <row r="148" spans="2:15" ht="16.5" customHeight="1">
      <c r="D148" s="1025"/>
      <c r="E148" s="1462"/>
      <c r="F148" s="3163"/>
      <c r="G148" s="3163"/>
      <c r="H148" s="1516" t="s">
        <v>3120</v>
      </c>
      <c r="I148" s="1517"/>
      <c r="J148" s="1516" t="s">
        <v>2943</v>
      </c>
      <c r="K148" s="1517"/>
      <c r="L148" s="1517"/>
      <c r="M148" s="1518"/>
      <c r="N148" s="1516"/>
      <c r="O148" s="1518"/>
    </row>
    <row r="149" spans="2:15" ht="16.5" customHeight="1">
      <c r="D149" s="1025"/>
      <c r="E149" s="1462"/>
      <c r="F149" s="1515">
        <v>6</v>
      </c>
      <c r="G149" s="1515" t="s">
        <v>476</v>
      </c>
      <c r="H149" s="1516" t="s">
        <v>477</v>
      </c>
      <c r="I149" s="1517"/>
      <c r="J149" s="1516" t="s">
        <v>478</v>
      </c>
      <c r="K149" s="1517"/>
      <c r="L149" s="1517"/>
      <c r="M149" s="1518"/>
      <c r="N149" s="1516"/>
      <c r="O149" s="1518"/>
    </row>
    <row r="150" spans="2:15" ht="16.5" customHeight="1">
      <c r="D150" s="1025"/>
      <c r="E150" s="1462"/>
      <c r="F150" s="3163">
        <v>7</v>
      </c>
      <c r="G150" s="3163" t="s">
        <v>1817</v>
      </c>
      <c r="H150" s="1516" t="s">
        <v>479</v>
      </c>
      <c r="I150" s="1517"/>
      <c r="J150" s="1516" t="s">
        <v>480</v>
      </c>
      <c r="K150" s="1517"/>
      <c r="L150" s="1517"/>
      <c r="M150" s="1518"/>
      <c r="N150" s="1516"/>
      <c r="O150" s="1518"/>
    </row>
    <row r="151" spans="2:15" ht="16.5" customHeight="1">
      <c r="D151" s="1025"/>
      <c r="E151" s="1462"/>
      <c r="F151" s="3163"/>
      <c r="G151" s="3163"/>
      <c r="H151" s="1516" t="s">
        <v>1818</v>
      </c>
      <c r="I151" s="1517"/>
      <c r="J151" s="1516" t="s">
        <v>481</v>
      </c>
      <c r="K151" s="1517"/>
      <c r="L151" s="1517"/>
      <c r="M151" s="1518"/>
      <c r="N151" s="1516"/>
      <c r="O151" s="1518"/>
    </row>
    <row r="152" spans="2:15" ht="16.5" customHeight="1">
      <c r="D152" s="1025"/>
      <c r="E152" s="1462"/>
      <c r="F152" s="3163"/>
      <c r="G152" s="3163"/>
      <c r="H152" s="1516" t="s">
        <v>1819</v>
      </c>
      <c r="I152" s="1517"/>
      <c r="J152" s="1516" t="s">
        <v>482</v>
      </c>
      <c r="K152" s="1517"/>
      <c r="L152" s="1517"/>
      <c r="M152" s="1518"/>
      <c r="N152" s="1516"/>
      <c r="O152" s="1518"/>
    </row>
    <row r="153" spans="2:15" ht="16.5" customHeight="1">
      <c r="D153" s="1025"/>
      <c r="E153" s="1462"/>
      <c r="F153" s="3199"/>
      <c r="G153" s="3199"/>
      <c r="H153" s="1516" t="s">
        <v>395</v>
      </c>
      <c r="I153" s="1517"/>
      <c r="J153" s="1516" t="s">
        <v>483</v>
      </c>
      <c r="K153" s="1517"/>
      <c r="L153" s="1517"/>
      <c r="M153" s="1518"/>
      <c r="N153" s="1516"/>
      <c r="O153" s="1518"/>
    </row>
    <row r="154" spans="2:15" ht="18" customHeight="1">
      <c r="D154" s="1025"/>
      <c r="E154" s="577"/>
      <c r="F154" s="577"/>
      <c r="G154" s="577" t="s">
        <v>821</v>
      </c>
      <c r="H154" s="577"/>
      <c r="I154" s="577"/>
      <c r="J154" s="1026"/>
      <c r="K154" s="1026"/>
      <c r="L154" s="1026"/>
      <c r="M154" s="1026"/>
      <c r="N154" s="1026"/>
      <c r="O154" s="1026"/>
    </row>
    <row r="155" spans="2:15" ht="18" customHeight="1">
      <c r="D155" s="1465">
        <v>4.2</v>
      </c>
      <c r="E155" s="1263" t="s">
        <v>1106</v>
      </c>
      <c r="F155" s="2314"/>
      <c r="J155" s="1119" t="str">
        <f>IF(OR(F157=0,AND(J156=0,O156=0)),$R$3,"")</f>
        <v/>
      </c>
      <c r="K155" s="2314"/>
      <c r="L155" s="2317"/>
      <c r="M155" s="2316"/>
      <c r="N155" s="2316"/>
      <c r="O155" s="1119"/>
    </row>
    <row r="156" spans="2:15" ht="15" thickBot="1">
      <c r="D156" s="2564"/>
      <c r="E156" s="1466"/>
      <c r="F156" s="1185"/>
      <c r="G156" s="1043"/>
      <c r="H156" s="1044"/>
      <c r="I156" s="1045" t="s">
        <v>1484</v>
      </c>
      <c r="J156" s="1046">
        <f>重み!M136</f>
        <v>0.5</v>
      </c>
      <c r="K156" s="1185"/>
      <c r="L156" s="1043"/>
      <c r="M156" s="1044"/>
      <c r="N156" s="1045" t="s">
        <v>1484</v>
      </c>
      <c r="O156" s="1048">
        <f>重み!M139</f>
        <v>0</v>
      </c>
    </row>
    <row r="157" spans="2:15" ht="25.5" customHeight="1" thickBot="1">
      <c r="D157" s="1025"/>
      <c r="E157" s="1462"/>
      <c r="F157" s="1049">
        <v>3</v>
      </c>
      <c r="G157" s="1137" t="s">
        <v>2816</v>
      </c>
      <c r="H157" s="1137"/>
      <c r="I157" s="1137"/>
      <c r="J157" s="1137"/>
      <c r="K157" s="1049">
        <v>3</v>
      </c>
      <c r="L157" s="1053" t="s">
        <v>2054</v>
      </c>
      <c r="M157" s="1054"/>
      <c r="N157" s="1054"/>
      <c r="O157" s="1055"/>
    </row>
    <row r="158" spans="2:15" ht="25.5" customHeight="1">
      <c r="B158" s="1">
        <v>1</v>
      </c>
      <c r="C158" s="1">
        <v>1</v>
      </c>
      <c r="D158" s="1025"/>
      <c r="E158" s="1462"/>
      <c r="F158" s="1061" t="str">
        <f>IF(F157=$S$15,$T$10,IF(AND($O$3=$U$3,ROUNDDOWN(F157,0)=$S$10),$U$10,$T$10))</f>
        <v>　レベル　1</v>
      </c>
      <c r="G158" s="2311" t="s">
        <v>907</v>
      </c>
      <c r="H158" s="1503"/>
      <c r="I158" s="1503"/>
      <c r="J158" s="1503"/>
      <c r="K158" s="1056" t="str">
        <f>IF(K157=$S$15,$T$10,IF(ROUNDDOWN(K157,0)=$S$10,$U$10,$T$10))</f>
        <v>　レベル　1</v>
      </c>
      <c r="L158" s="2311" t="s">
        <v>1734</v>
      </c>
      <c r="M158" s="2320"/>
      <c r="N158" s="2320"/>
      <c r="O158" s="2321"/>
    </row>
    <row r="159" spans="2:15" ht="25.5" customHeight="1">
      <c r="B159" s="1">
        <v>2</v>
      </c>
      <c r="C159" s="1">
        <v>2</v>
      </c>
      <c r="D159" s="1025"/>
      <c r="E159" s="1462"/>
      <c r="F159" s="1061" t="str">
        <f>IF(F157=$S$15,$T$11,IF(AND($O$3=$U$3,ROUNDDOWN(F157,0)=$S$11),$U$11,$T$11))</f>
        <v>　レベル　2</v>
      </c>
      <c r="G159" s="1294" t="s">
        <v>908</v>
      </c>
      <c r="H159" s="1503"/>
      <c r="I159" s="1503"/>
      <c r="J159" s="1503"/>
      <c r="K159" s="1209" t="str">
        <f>IF(K157=$S$15,$T$11,IF(ROUNDDOWN(K157,0)=$S$11,$U$11,$T$11))</f>
        <v>　レベル　2</v>
      </c>
      <c r="L159" s="1294" t="s">
        <v>1957</v>
      </c>
      <c r="M159" s="1295"/>
      <c r="N159" s="1295"/>
      <c r="O159" s="1296"/>
    </row>
    <row r="160" spans="2:15" ht="25.5" customHeight="1">
      <c r="B160" s="1">
        <v>3</v>
      </c>
      <c r="C160" s="1">
        <v>3</v>
      </c>
      <c r="D160" s="1025"/>
      <c r="E160" s="1462"/>
      <c r="F160" s="1061" t="str">
        <f>IF(F157=$S$15,$T$12,IF(AND($O$3=$U$3,ROUNDDOWN(F157,0)=$S$12),$U$12,$T$12))</f>
        <v>■レベル　3</v>
      </c>
      <c r="G160" s="1294" t="s">
        <v>822</v>
      </c>
      <c r="H160" s="1503"/>
      <c r="I160" s="1503"/>
      <c r="J160" s="1503"/>
      <c r="K160" s="1209" t="str">
        <f>IF(K157=$S$15,$T$12,IF(ROUNDDOWN(K157,0)=$S$12,$U$12,$T$12))</f>
        <v>■レベル　3</v>
      </c>
      <c r="L160" s="1294" t="s">
        <v>1735</v>
      </c>
      <c r="M160" s="1295"/>
      <c r="N160" s="1295"/>
      <c r="O160" s="1296"/>
    </row>
    <row r="161" spans="2:15" ht="33" customHeight="1">
      <c r="B161" s="1">
        <v>4</v>
      </c>
      <c r="C161" s="1">
        <v>4</v>
      </c>
      <c r="D161" s="1025"/>
      <c r="E161" s="1462"/>
      <c r="F161" s="1061" t="str">
        <f>IF(F157=$S$15,$T$13,IF(AND($O$3=$U$3,ROUNDDOWN(F157,0)=$S$13),$U$13,$T$13))</f>
        <v>　レベル　4</v>
      </c>
      <c r="G161" s="2984" t="s">
        <v>3187</v>
      </c>
      <c r="H161" s="3014"/>
      <c r="I161" s="3014"/>
      <c r="J161" s="3015"/>
      <c r="K161" s="1209" t="str">
        <f>IF(K157=$S$15,$T$13,IF(ROUNDDOWN(K157,0)=$S$13,$U$13,$T$13))</f>
        <v>　レベル　4</v>
      </c>
      <c r="L161" s="2984" t="s">
        <v>1736</v>
      </c>
      <c r="M161" s="3014"/>
      <c r="N161" s="3014"/>
      <c r="O161" s="3015"/>
    </row>
    <row r="162" spans="2:15" ht="34.5" customHeight="1">
      <c r="B162" s="1">
        <v>5</v>
      </c>
      <c r="C162" s="1">
        <v>5</v>
      </c>
      <c r="D162" s="1025"/>
      <c r="E162" s="1462"/>
      <c r="F162" s="1072" t="str">
        <f>IF(F157=$S$15,$T$14,IF(AND($O$3=$U$3,ROUNDDOWN(F157,0)=$S$14),$U$14,$T$14))</f>
        <v>　レベル　5</v>
      </c>
      <c r="G162" s="2978" t="s">
        <v>3188</v>
      </c>
      <c r="H162" s="3166"/>
      <c r="I162" s="3166"/>
      <c r="J162" s="3167"/>
      <c r="K162" s="1072" t="str">
        <f>IF(K157=$S$15,$T$14,IF(ROUNDDOWN(K157,0)=$S$14,$U$14,$T$14))</f>
        <v>　レベル　5</v>
      </c>
      <c r="L162" s="2978" t="s">
        <v>1737</v>
      </c>
      <c r="M162" s="3166"/>
      <c r="N162" s="3166"/>
      <c r="O162" s="3167"/>
    </row>
    <row r="163" spans="2:15" ht="9.75" customHeight="1">
      <c r="B163" s="1079">
        <v>0</v>
      </c>
      <c r="C163" s="1079">
        <v>0</v>
      </c>
      <c r="D163" s="1025"/>
    </row>
    <row r="164" spans="2:15" ht="14.25">
      <c r="E164" s="2315"/>
      <c r="K164" s="2314"/>
      <c r="L164" s="2319"/>
      <c r="M164" s="2328"/>
      <c r="N164" s="2328"/>
      <c r="O164" s="1119"/>
    </row>
    <row r="165" spans="2:15" ht="14.25">
      <c r="E165" s="2318"/>
    </row>
    <row r="166" spans="2:15" ht="15.75">
      <c r="D166" s="1025"/>
      <c r="E166" s="2318"/>
    </row>
    <row r="167" spans="2:15" ht="15.75">
      <c r="B167" s="1">
        <v>1</v>
      </c>
      <c r="C167" s="1" t="s">
        <v>2364</v>
      </c>
      <c r="D167" s="1025"/>
      <c r="E167" s="2318"/>
    </row>
    <row r="168" spans="2:15" ht="15.75">
      <c r="B168" s="1" t="s">
        <v>2364</v>
      </c>
      <c r="C168" s="1" t="s">
        <v>2364</v>
      </c>
      <c r="D168" s="1025"/>
      <c r="E168" s="2318"/>
    </row>
    <row r="169" spans="2:15" ht="15.75">
      <c r="B169" s="1">
        <v>3</v>
      </c>
      <c r="C169" s="1">
        <v>3</v>
      </c>
      <c r="D169" s="1025"/>
      <c r="E169" s="2318"/>
    </row>
    <row r="170" spans="2:15" ht="27" customHeight="1">
      <c r="B170" s="1">
        <v>4</v>
      </c>
      <c r="C170" s="1">
        <v>4</v>
      </c>
      <c r="D170" s="1025"/>
      <c r="E170" s="2318"/>
    </row>
    <row r="171" spans="2:15" ht="34.5" customHeight="1">
      <c r="B171" s="1">
        <v>5</v>
      </c>
      <c r="C171" s="1">
        <v>5</v>
      </c>
      <c r="D171" s="1025"/>
      <c r="E171" s="2318"/>
    </row>
    <row r="172" spans="2:15" ht="15.75">
      <c r="B172" s="1079">
        <v>0</v>
      </c>
      <c r="C172" s="1079">
        <v>0</v>
      </c>
      <c r="D172" s="1025"/>
      <c r="E172" s="2325"/>
      <c r="F172" s="2326"/>
      <c r="G172" s="2326"/>
      <c r="H172" s="2327"/>
      <c r="I172" s="2327"/>
      <c r="J172" s="2327"/>
      <c r="K172" s="2327"/>
      <c r="L172" s="2327"/>
      <c r="M172" s="2327"/>
      <c r="N172" s="2327"/>
      <c r="O172" s="2327"/>
    </row>
    <row r="173" spans="2:15" hidden="1"/>
    <row r="174" spans="2:15" hidden="1"/>
    <row r="175" spans="2:15" hidden="1"/>
    <row r="176" spans="2:15"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sheetData>
  <sheetProtection password="9DA9" sheet="1" objects="1" scenarios="1"/>
  <mergeCells count="53">
    <mergeCell ref="G162:J162"/>
    <mergeCell ref="M13:O13"/>
    <mergeCell ref="M14:O14"/>
    <mergeCell ref="L162:O162"/>
    <mergeCell ref="L132:O132"/>
    <mergeCell ref="N114:O118"/>
    <mergeCell ref="F136:G136"/>
    <mergeCell ref="F137:F139"/>
    <mergeCell ref="G137:G139"/>
    <mergeCell ref="F140:F143"/>
    <mergeCell ref="G140:G143"/>
    <mergeCell ref="F150:F153"/>
    <mergeCell ref="L161:O161"/>
    <mergeCell ref="G150:G153"/>
    <mergeCell ref="G161:J161"/>
    <mergeCell ref="N103:O107"/>
    <mergeCell ref="I9:J9"/>
    <mergeCell ref="K9:L9"/>
    <mergeCell ref="M10:O10"/>
    <mergeCell ref="M11:O11"/>
    <mergeCell ref="M12:O12"/>
    <mergeCell ref="L79:N79"/>
    <mergeCell ref="I58:O58"/>
    <mergeCell ref="I59:O59"/>
    <mergeCell ref="I57:O57"/>
    <mergeCell ref="L50:O50"/>
    <mergeCell ref="L51:O51"/>
    <mergeCell ref="L78:N78"/>
    <mergeCell ref="G12:H12"/>
    <mergeCell ref="I12:J12"/>
    <mergeCell ref="K12:L12"/>
    <mergeCell ref="G13:H13"/>
    <mergeCell ref="G14:H14"/>
    <mergeCell ref="I14:J14"/>
    <mergeCell ref="I13:J13"/>
    <mergeCell ref="K13:L13"/>
    <mergeCell ref="K14:L14"/>
    <mergeCell ref="F146:F148"/>
    <mergeCell ref="G146:G148"/>
    <mergeCell ref="H28:K28"/>
    <mergeCell ref="H30:K30"/>
    <mergeCell ref="G132:J132"/>
    <mergeCell ref="G130:J130"/>
    <mergeCell ref="G131:J131"/>
    <mergeCell ref="H51:J51"/>
    <mergeCell ref="G65:G66"/>
    <mergeCell ref="F65:F66"/>
    <mergeCell ref="H50:J50"/>
    <mergeCell ref="F16:F18"/>
    <mergeCell ref="H26:K26"/>
    <mergeCell ref="H27:K27"/>
    <mergeCell ref="G16:G18"/>
    <mergeCell ref="N38:O42"/>
  </mergeCells>
  <phoneticPr fontId="21"/>
  <conditionalFormatting sqref="F32">
    <cfRule type="expression" dxfId="52" priority="1" stopIfTrue="1">
      <formula>AND(OR(F32&lt;1,F32&gt;5),F32&lt;&gt;#REF!)</formula>
    </cfRule>
    <cfRule type="expression" dxfId="51" priority="2" stopIfTrue="1">
      <formula>AND($J$15&gt;0,G32=$T$4)</formula>
    </cfRule>
  </conditionalFormatting>
  <conditionalFormatting sqref="F127 F157 F8 F113 F102">
    <cfRule type="expression" dxfId="50" priority="3" stopIfTrue="1">
      <formula>AND(OR(F8&lt;1,F8&gt;5),F8&lt;&gt;0)</formula>
    </cfRule>
    <cfRule type="expression" dxfId="49" priority="4" stopIfTrue="1">
      <formula>$J7&gt;0</formula>
    </cfRule>
  </conditionalFormatting>
  <conditionalFormatting sqref="K47">
    <cfRule type="expression" dxfId="48" priority="5" stopIfTrue="1">
      <formula>AND(OR(K47&lt;1,K47&gt;5),K47&lt;&gt;0)</formula>
    </cfRule>
    <cfRule type="expression" dxfId="47" priority="6" stopIfTrue="1">
      <formula>O47&gt;0</formula>
    </cfRule>
  </conditionalFormatting>
  <conditionalFormatting sqref="K74">
    <cfRule type="expression" dxfId="46" priority="7" stopIfTrue="1">
      <formula>AND(OR(K74&lt;1,K74&gt;5),K74&lt;&gt;#REF!)</formula>
    </cfRule>
    <cfRule type="expression" dxfId="45" priority="8" stopIfTrue="1">
      <formula>#REF!&gt;0</formula>
    </cfRule>
  </conditionalFormatting>
  <conditionalFormatting sqref="K127">
    <cfRule type="expression" dxfId="44" priority="9" stopIfTrue="1">
      <formula>AND(OR(K127&lt;1,K127&gt;5),K127&lt;&gt;0)</formula>
    </cfRule>
    <cfRule type="expression" dxfId="43" priority="10" stopIfTrue="1">
      <formula>$O$126</formula>
    </cfRule>
  </conditionalFormatting>
  <conditionalFormatting sqref="I54">
    <cfRule type="expression" dxfId="42" priority="11" stopIfTrue="1">
      <formula>$J$47&gt;0</formula>
    </cfRule>
  </conditionalFormatting>
  <conditionalFormatting sqref="G32">
    <cfRule type="expression" dxfId="41" priority="12" stopIfTrue="1">
      <formula>AND($J$15&gt;0)</formula>
    </cfRule>
  </conditionalFormatting>
  <conditionalFormatting sqref="F16">
    <cfRule type="cellIs" dxfId="40" priority="13" stopIfTrue="1" operator="equal">
      <formula>#REF!</formula>
    </cfRule>
    <cfRule type="cellIs" dxfId="39" priority="14" stopIfTrue="1" operator="equal">
      <formula>#REF!</formula>
    </cfRule>
    <cfRule type="cellIs" dxfId="38" priority="15" stopIfTrue="1" operator="equal">
      <formula>#REF!</formula>
    </cfRule>
  </conditionalFormatting>
  <conditionalFormatting sqref="H57:H60">
    <cfRule type="expression" dxfId="37" priority="16" stopIfTrue="1">
      <formula>AND($J$47&gt;0,$J$46&gt;0.001)</formula>
    </cfRule>
  </conditionalFormatting>
  <conditionalFormatting sqref="K157">
    <cfRule type="expression" dxfId="36" priority="33" stopIfTrue="1">
      <formula>AND(OR(K157&lt;1,K157&gt;5),K157&lt;&gt;0)</formula>
    </cfRule>
    <cfRule type="expression" dxfId="35" priority="34" stopIfTrue="1">
      <formula>$O156&gt;0</formula>
    </cfRule>
  </conditionalFormatting>
  <dataValidations xWindow="404" yWindow="579" count="9">
    <dataValidation type="list" allowBlank="1" showInputMessage="1" sqref="F8 F113 F102 F157">
      <formula1>$B9:$B14</formula1>
    </dataValidation>
    <dataValidation type="list" allowBlank="1" showInputMessage="1" sqref="F127">
      <formula1>$B128:$B132</formula1>
    </dataValidation>
    <dataValidation allowBlank="1" showInputMessage="1" sqref="K74 I44 I54"/>
    <dataValidation type="list" allowBlank="1" showInputMessage="1" sqref="K127">
      <formula1>$C$128:$C$132</formula1>
    </dataValidation>
    <dataValidation type="list" allowBlank="1" showInputMessage="1" showErrorMessage="1" sqref="G32">
      <formula1>$T$3:$T$4</formula1>
    </dataValidation>
    <dataValidation type="decimal" allowBlank="1" showInputMessage="1" showErrorMessage="1" sqref="F32">
      <formula1>0</formula1>
      <formula2>5</formula2>
    </dataValidation>
    <dataValidation type="list" allowBlank="1" showInputMessage="1" sqref="K47">
      <formula1>$C$48:$C$52</formula1>
    </dataValidation>
    <dataValidation type="list" allowBlank="1" showInputMessage="1" showErrorMessage="1" sqref="H57:H60">
      <formula1>"○,　"</formula1>
    </dataValidation>
    <dataValidation type="list" allowBlank="1" showInputMessage="1" sqref="K157">
      <formula1>$B167:$B172</formula1>
    </dataValidation>
  </dataValidations>
  <printOptions horizontalCentered="1"/>
  <pageMargins left="0.59055118110236227" right="0.59055118110236227" top="0.78740157480314965" bottom="0.59055118110236227" header="0.51181102362204722" footer="0.51181102362204722"/>
  <pageSetup paperSize="9" scale="68" fitToHeight="7" orientation="portrait" verticalDpi="4294967293" r:id="rId1"/>
  <headerFooter alignWithMargins="0">
    <oddHeader>&amp;L&amp;F&amp;R&amp;A</oddHeader>
    <oddFooter>&amp;C&amp;P/&amp;N</oddFooter>
  </headerFooter>
  <rowBreaks count="1" manualBreakCount="1">
    <brk id="61" min="2" max="15"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118"/>
  <sheetViews>
    <sheetView showGridLines="0" zoomScaleNormal="100" zoomScaleSheetLayoutView="100" workbookViewId="0"/>
  </sheetViews>
  <sheetFormatPr defaultColWidth="0" defaultRowHeight="13.5" zeroHeight="1"/>
  <cols>
    <col min="1" max="2" width="1.375" customWidth="1"/>
    <col min="3" max="3" width="2.125" customWidth="1"/>
    <col min="4" max="4" width="2.5" customWidth="1"/>
    <col min="5" max="8" width="9.5" customWidth="1"/>
    <col min="9" max="9" width="11.375" customWidth="1"/>
    <col min="10" max="13" width="9.5" customWidth="1"/>
    <col min="14" max="14" width="10.75" customWidth="1"/>
    <col min="15" max="15" width="3.25" customWidth="1"/>
    <col min="16" max="16" width="9.5" customWidth="1"/>
    <col min="17" max="17" width="10.75" customWidth="1"/>
    <col min="18" max="18" width="1" customWidth="1"/>
    <col min="19" max="19" width="26.875" hidden="1" customWidth="1"/>
    <col min="20" max="20" width="23.5" hidden="1" customWidth="1"/>
    <col min="21" max="21" width="23.25" hidden="1" customWidth="1"/>
    <col min="22" max="23" width="9.125" hidden="1" customWidth="1"/>
    <col min="24" max="24" width="13.875" hidden="1" customWidth="1"/>
    <col min="25" max="25" width="12.75" hidden="1" customWidth="1"/>
    <col min="26" max="26" width="8.375" hidden="1" customWidth="1"/>
    <col min="27" max="27" width="10.375" hidden="1" customWidth="1"/>
    <col min="28" max="28" width="13.875" hidden="1" customWidth="1"/>
    <col min="29" max="29" width="12.75" hidden="1" customWidth="1"/>
  </cols>
  <sheetData>
    <row r="1" spans="2:29" ht="9.75" customHeight="1" thickBot="1"/>
    <row r="2" spans="2:29" ht="25.5" customHeight="1">
      <c r="B2" s="2250"/>
      <c r="C2" s="2251" t="s">
        <v>2374</v>
      </c>
      <c r="D2" s="2252"/>
      <c r="E2" s="2252"/>
      <c r="F2" s="2253"/>
      <c r="G2" s="2253"/>
      <c r="H2" s="2254"/>
      <c r="I2" s="2252"/>
      <c r="J2" s="2255"/>
      <c r="K2" s="2255"/>
      <c r="L2" s="2255"/>
      <c r="M2" s="2256" t="s">
        <v>2952</v>
      </c>
      <c r="N2" s="2257" t="str">
        <f>メイン!C11</f>
        <v>○○ビル</v>
      </c>
      <c r="O2" s="2257"/>
      <c r="P2" s="2258"/>
      <c r="Q2" s="2259"/>
    </row>
    <row r="3" spans="2:29">
      <c r="B3" s="2267"/>
      <c r="C3" s="2268"/>
      <c r="D3" s="2268"/>
      <c r="E3" s="2268"/>
      <c r="F3" s="2268"/>
      <c r="G3" s="2268"/>
      <c r="H3" s="2268"/>
      <c r="I3" s="2268"/>
      <c r="J3" s="2268"/>
      <c r="K3" s="2268"/>
      <c r="L3" s="2268"/>
      <c r="M3" s="2268"/>
      <c r="N3" s="2268"/>
      <c r="O3" s="2268"/>
      <c r="P3" s="2268"/>
      <c r="Q3" s="2449"/>
      <c r="S3" t="s">
        <v>1186</v>
      </c>
      <c r="U3" s="2338" t="s">
        <v>1184</v>
      </c>
      <c r="V3">
        <f>IF($I$6&lt;=W9,V10,IF($I$6&lt;=W8,V9,IF($I$6&lt;=W7,V8,IF($I$6&lt;=W6,V7,1))))</f>
        <v>5</v>
      </c>
      <c r="X3">
        <f>VLOOKUP($V$3,V6:Y10,3)</f>
        <v>-10.000000000000002</v>
      </c>
      <c r="Y3">
        <f>VLOOKUP($V$3,V6:Y10,4)</f>
        <v>13.000000000000002</v>
      </c>
      <c r="Z3">
        <f>IF($I$6&lt;=AA9,Z10,IF($I$6&lt;=AA8,Z9,IF($I$6&lt;=AA7,Z8,IF($I$6&lt;=AA6,Z7,1))))</f>
        <v>5</v>
      </c>
      <c r="AB3">
        <f>VLOOKUP($Z$3,Z6:AC10,3)</f>
        <v>-12.499999999999989</v>
      </c>
      <c r="AC3">
        <f>VLOOKUP($Z$3,Z6:AC10,4)</f>
        <v>15.624999999999991</v>
      </c>
    </row>
    <row r="4" spans="2:29">
      <c r="B4" s="2267"/>
      <c r="C4" s="2268"/>
      <c r="D4" s="2268"/>
      <c r="E4" s="2268"/>
      <c r="F4" s="2268"/>
      <c r="G4" s="2268"/>
      <c r="H4" s="2268"/>
      <c r="I4" s="2260" t="s">
        <v>722</v>
      </c>
      <c r="J4" s="2268"/>
      <c r="K4" s="2268"/>
      <c r="L4" s="2268"/>
      <c r="M4" s="2260" t="s">
        <v>723</v>
      </c>
      <c r="N4" s="2268"/>
      <c r="O4" s="2268"/>
      <c r="P4" s="2268"/>
      <c r="Q4" s="2449"/>
      <c r="S4" t="s">
        <v>1187</v>
      </c>
      <c r="U4" s="2338" t="s">
        <v>1185</v>
      </c>
      <c r="V4">
        <f>IF($I$6&lt;=W16,V16,IF($I$6&lt;=W15,V15,IF($I$6&lt;=W14,V14,1)))</f>
        <v>4</v>
      </c>
      <c r="Z4">
        <f>IF($I$6&lt;=AA16,Z16,IF($I$6&lt;=AA15,Z15,IF($I$6&lt;=AA14,Z14,IF($I$6&lt;=AA13,Z13,1))))</f>
        <v>4</v>
      </c>
    </row>
    <row r="5" spans="2:29" ht="14.25" thickBot="1">
      <c r="B5" s="2267"/>
      <c r="C5" s="2450" t="s">
        <v>413</v>
      </c>
      <c r="D5" s="2260" t="s">
        <v>721</v>
      </c>
      <c r="E5" s="2268"/>
      <c r="F5" s="2268"/>
      <c r="G5" s="2268"/>
      <c r="H5" s="2268"/>
      <c r="I5" s="2268"/>
      <c r="J5" s="2268"/>
      <c r="K5" s="2268"/>
      <c r="L5" s="2268"/>
      <c r="M5" s="2268"/>
      <c r="N5" s="2268"/>
      <c r="O5" s="2268"/>
      <c r="P5" s="2268"/>
      <c r="Q5" s="2449"/>
      <c r="T5" t="s">
        <v>3243</v>
      </c>
      <c r="U5" t="s">
        <v>2721</v>
      </c>
      <c r="V5" s="1" t="s">
        <v>2720</v>
      </c>
      <c r="W5" s="1" t="s">
        <v>2719</v>
      </c>
      <c r="X5" t="s">
        <v>3035</v>
      </c>
      <c r="Y5" t="s">
        <v>3036</v>
      </c>
      <c r="Z5" s="1" t="s">
        <v>2720</v>
      </c>
      <c r="AA5" s="1" t="str">
        <f>メイン!I12</f>
        <v>８地域</v>
      </c>
      <c r="AB5" t="s">
        <v>3035</v>
      </c>
      <c r="AC5" t="s">
        <v>3036</v>
      </c>
    </row>
    <row r="6" spans="2:29" ht="14.25" thickBot="1">
      <c r="B6" s="2267"/>
      <c r="C6" s="2268"/>
      <c r="D6" s="2260"/>
      <c r="E6" s="3200" t="s">
        <v>1187</v>
      </c>
      <c r="F6" s="3201"/>
      <c r="G6" s="3202"/>
      <c r="H6" s="2339" t="str">
        <f>IF(E6=S3,U3,U4)</f>
        <v>BPIm=</v>
      </c>
      <c r="I6" s="2452">
        <v>0.9</v>
      </c>
      <c r="J6" s="2268"/>
      <c r="K6" s="2268"/>
      <c r="L6" s="2272" t="s">
        <v>724</v>
      </c>
      <c r="M6" s="2262" t="s">
        <v>3243</v>
      </c>
      <c r="N6" s="2268"/>
      <c r="O6" s="2268"/>
      <c r="P6" s="2268"/>
      <c r="Q6" s="2449"/>
      <c r="T6" t="s">
        <v>3121</v>
      </c>
      <c r="V6" s="1">
        <v>1</v>
      </c>
      <c r="W6" s="1">
        <v>1.03</v>
      </c>
      <c r="X6" s="2522">
        <v>0</v>
      </c>
      <c r="Y6" s="2522">
        <v>1</v>
      </c>
      <c r="Z6" s="1">
        <v>1</v>
      </c>
      <c r="AA6" s="1">
        <v>1.03</v>
      </c>
      <c r="AB6" s="2522">
        <v>0</v>
      </c>
      <c r="AC6" s="2522">
        <v>1</v>
      </c>
    </row>
    <row r="7" spans="2:29" ht="5.25" customHeight="1">
      <c r="B7" s="2267"/>
      <c r="C7" s="2268"/>
      <c r="D7" s="2268"/>
      <c r="E7" s="2268"/>
      <c r="F7" s="2268"/>
      <c r="G7" s="2268"/>
      <c r="H7" s="2268"/>
      <c r="I7" s="2268"/>
      <c r="J7" s="2268"/>
      <c r="K7" s="2268"/>
      <c r="L7" s="2268"/>
      <c r="M7" s="2268"/>
      <c r="N7" s="2268"/>
      <c r="O7" s="2268"/>
      <c r="P7" s="2268"/>
      <c r="Q7" s="2449"/>
      <c r="T7" t="s">
        <v>3122</v>
      </c>
      <c r="V7" s="1">
        <v>2</v>
      </c>
      <c r="W7" s="1">
        <v>1</v>
      </c>
      <c r="X7">
        <f>(V7-V6)/(W7-W6)</f>
        <v>-33.333333333333307</v>
      </c>
      <c r="Y7">
        <f>V7-X7*W7</f>
        <v>35.333333333333307</v>
      </c>
      <c r="Z7" s="1">
        <v>2</v>
      </c>
      <c r="AA7" s="1">
        <v>1</v>
      </c>
      <c r="AB7">
        <f>(Z7-Z6)/(AA7-AA6)</f>
        <v>-33.333333333333307</v>
      </c>
      <c r="AC7">
        <f>Z7-AB7*AA7</f>
        <v>35.333333333333307</v>
      </c>
    </row>
    <row r="8" spans="2:29">
      <c r="B8" s="2267"/>
      <c r="C8" s="2268"/>
      <c r="D8" s="2268"/>
      <c r="E8" s="2268"/>
      <c r="F8" s="2268"/>
      <c r="G8" s="2268"/>
      <c r="H8" s="2268"/>
      <c r="I8" s="2468" t="str">
        <f>W5</f>
        <v>1～7地域</v>
      </c>
      <c r="J8" s="2468" t="str">
        <f>AA5</f>
        <v>８地域</v>
      </c>
      <c r="K8" s="2268"/>
      <c r="L8" s="2268"/>
      <c r="M8" s="2268"/>
      <c r="N8" s="2268"/>
      <c r="O8" s="2268"/>
      <c r="P8" s="2268"/>
      <c r="Q8" s="2449"/>
      <c r="T8" t="s">
        <v>3037</v>
      </c>
      <c r="V8" s="1">
        <v>3</v>
      </c>
      <c r="W8" s="1">
        <v>0.97</v>
      </c>
      <c r="X8">
        <f>(V8-V7)/(W8-W7)</f>
        <v>-33.333333333333307</v>
      </c>
      <c r="Y8">
        <f>V8-X8*W8</f>
        <v>35.333333333333307</v>
      </c>
      <c r="Z8" s="1">
        <v>3</v>
      </c>
      <c r="AA8" s="1">
        <v>0.97</v>
      </c>
      <c r="AB8">
        <f>(Z8-Z7)/(AA8-AA7)</f>
        <v>-33.333333333333307</v>
      </c>
      <c r="AC8">
        <f>Z8-AB8*AA8</f>
        <v>35.333333333333307</v>
      </c>
    </row>
    <row r="9" spans="2:29">
      <c r="B9" s="2267"/>
      <c r="C9" s="2268"/>
      <c r="D9" s="2268"/>
      <c r="E9" s="2268"/>
      <c r="F9" s="2268" t="s">
        <v>414</v>
      </c>
      <c r="G9" s="2268"/>
      <c r="H9" s="2272" t="s">
        <v>2210</v>
      </c>
      <c r="I9" s="2471">
        <f>IF(I6&lt;=0.8,5,I6*X3+Y3)</f>
        <v>4</v>
      </c>
      <c r="J9" s="2471">
        <f>IF(I6&lt;=0.85,5,I6*AB3+AC3)</f>
        <v>4.375</v>
      </c>
      <c r="K9" s="2268"/>
      <c r="L9" s="2268"/>
      <c r="M9" s="2268"/>
      <c r="N9" s="2268"/>
      <c r="O9" s="2268"/>
      <c r="P9" s="2268"/>
      <c r="Q9" s="2449"/>
      <c r="T9" t="s">
        <v>3123</v>
      </c>
      <c r="V9" s="1">
        <v>4</v>
      </c>
      <c r="W9" s="1">
        <v>0.9</v>
      </c>
      <c r="X9">
        <f>(V9-V8)/(W9-W8)</f>
        <v>-14.285714285714295</v>
      </c>
      <c r="Y9">
        <f>V9-X9*W9</f>
        <v>16.857142857142868</v>
      </c>
      <c r="Z9" s="1">
        <v>4</v>
      </c>
      <c r="AA9" s="1">
        <v>0.93</v>
      </c>
      <c r="AB9">
        <f>(Z9-Z8)/(AA9-AA8)</f>
        <v>-25.000000000000046</v>
      </c>
      <c r="AC9">
        <f>Z9-AB9*AA9</f>
        <v>27.250000000000043</v>
      </c>
    </row>
    <row r="10" spans="2:29">
      <c r="B10" s="2267"/>
      <c r="C10" s="2268"/>
      <c r="D10" s="2268"/>
      <c r="E10" s="2268"/>
      <c r="F10" s="2268"/>
      <c r="G10" s="2268"/>
      <c r="H10" s="2272" t="s">
        <v>2211</v>
      </c>
      <c r="I10" s="2471">
        <f>V4</f>
        <v>4</v>
      </c>
      <c r="J10" s="2471">
        <f>Z4</f>
        <v>4</v>
      </c>
      <c r="K10" s="2268"/>
      <c r="L10" s="2268"/>
      <c r="M10" s="2268"/>
      <c r="N10" s="2268"/>
      <c r="O10" s="2268"/>
      <c r="P10" s="2268"/>
      <c r="Q10" s="2449"/>
      <c r="T10" t="s">
        <v>3124</v>
      </c>
      <c r="V10" s="1">
        <v>5</v>
      </c>
      <c r="W10" s="1">
        <v>0.8</v>
      </c>
      <c r="X10">
        <f>(V10-V9)/(W10-W9)</f>
        <v>-10.000000000000002</v>
      </c>
      <c r="Y10">
        <f>V10-X10*W10</f>
        <v>13.000000000000002</v>
      </c>
      <c r="Z10" s="1">
        <v>5</v>
      </c>
      <c r="AA10" s="1">
        <v>0.85</v>
      </c>
      <c r="AB10">
        <f>(Z10-Z9)/(AA10-AA9)</f>
        <v>-12.499999999999989</v>
      </c>
      <c r="AC10">
        <f>Z10-AB10*AA10</f>
        <v>15.624999999999991</v>
      </c>
    </row>
    <row r="11" spans="2:29" ht="5.25" customHeight="1" thickBot="1">
      <c r="B11" s="2267"/>
      <c r="C11" s="2268"/>
      <c r="D11" s="2268"/>
      <c r="E11" s="2268"/>
      <c r="F11" s="2268"/>
      <c r="G11" s="2268"/>
      <c r="H11" s="2272"/>
      <c r="I11" s="2453"/>
      <c r="J11" s="2453"/>
      <c r="K11" s="2268"/>
      <c r="L11" s="2268"/>
      <c r="M11" s="2469"/>
      <c r="N11" s="2268"/>
      <c r="O11" s="2268"/>
      <c r="P11" s="2268"/>
      <c r="Q11" s="2449"/>
    </row>
    <row r="12" spans="2:29" ht="14.25" thickBot="1">
      <c r="B12" s="2267"/>
      <c r="C12" s="2268"/>
      <c r="D12" s="2268"/>
      <c r="E12" s="2260"/>
      <c r="F12" s="2268" t="s">
        <v>1188</v>
      </c>
      <c r="G12" s="2468" t="str">
        <f>メイン!F12</f>
        <v>６地域</v>
      </c>
      <c r="H12" s="2268"/>
      <c r="I12" s="2454">
        <f>IF(I6="",0,IF(E6=S3,IF(G12=AA5,J9,I9),IF(G12=AA5,J10,I10)))</f>
        <v>4</v>
      </c>
      <c r="J12" s="2268"/>
      <c r="K12" s="2268"/>
      <c r="L12" s="2268"/>
      <c r="M12" s="2454">
        <f>IF(M6="",$T10,IF(M6=T9,5,IF(M6=T8,3,IF(M6=T7,2,1))))</f>
        <v>1</v>
      </c>
      <c r="N12" s="2268"/>
      <c r="O12" s="2268"/>
      <c r="P12" s="2268"/>
      <c r="Q12" s="2449"/>
      <c r="U12" t="s">
        <v>2220</v>
      </c>
      <c r="V12" s="1" t="s">
        <v>2720</v>
      </c>
      <c r="W12" s="1" t="s">
        <v>2719</v>
      </c>
      <c r="Z12" s="1" t="s">
        <v>2720</v>
      </c>
      <c r="AA12" s="1">
        <f>メイン!I19</f>
        <v>0</v>
      </c>
    </row>
    <row r="13" spans="2:29" ht="6.75" customHeight="1">
      <c r="B13" s="2267"/>
      <c r="C13" s="2268"/>
      <c r="D13" s="2268"/>
      <c r="E13" s="2260"/>
      <c r="F13" s="2268"/>
      <c r="G13" s="2268"/>
      <c r="H13" s="2268"/>
      <c r="I13" s="2268"/>
      <c r="J13" s="2268"/>
      <c r="K13" s="2268"/>
      <c r="L13" s="2268"/>
      <c r="M13" s="2268"/>
      <c r="N13" s="2268"/>
      <c r="O13" s="2268"/>
      <c r="P13" s="2268"/>
      <c r="Q13" s="2449"/>
      <c r="V13" s="1">
        <v>1</v>
      </c>
      <c r="W13" s="1"/>
      <c r="Z13" s="1">
        <v>1</v>
      </c>
      <c r="AA13" s="1"/>
    </row>
    <row r="14" spans="2:29">
      <c r="B14" s="2267"/>
      <c r="C14" s="2268"/>
      <c r="D14" s="2268"/>
      <c r="E14" s="2260"/>
      <c r="F14" s="2268"/>
      <c r="G14" s="2268"/>
      <c r="H14" s="2272" t="s">
        <v>471</v>
      </c>
      <c r="I14" s="2278">
        <f>H94-H91</f>
        <v>3000</v>
      </c>
      <c r="J14" s="2268" t="s">
        <v>2209</v>
      </c>
      <c r="K14" s="2268"/>
      <c r="L14" s="2268"/>
      <c r="M14" s="2278">
        <f>メイン!C64</f>
        <v>0</v>
      </c>
      <c r="N14" s="2268" t="s">
        <v>2573</v>
      </c>
      <c r="O14" s="2268"/>
      <c r="P14" s="2268"/>
      <c r="Q14" s="2449"/>
      <c r="V14" s="1">
        <v>2</v>
      </c>
      <c r="W14" s="1">
        <v>1</v>
      </c>
      <c r="Z14" s="1">
        <v>2</v>
      </c>
      <c r="AA14" s="1">
        <v>1</v>
      </c>
    </row>
    <row r="15" spans="2:29">
      <c r="B15" s="2267"/>
      <c r="C15" s="2268"/>
      <c r="D15" s="2268"/>
      <c r="E15" s="2260"/>
      <c r="F15" s="2268"/>
      <c r="G15" s="2268"/>
      <c r="H15" s="2272" t="s">
        <v>2723</v>
      </c>
      <c r="I15" s="2451">
        <f>IF(I14+M14=0,0,I14/(I14+M14))</f>
        <v>1</v>
      </c>
      <c r="J15" s="2268"/>
      <c r="K15" s="2268"/>
      <c r="L15" s="2272"/>
      <c r="M15" s="2451">
        <f>IF(I14+M14=0,0,M14/(I14+M14))</f>
        <v>0</v>
      </c>
      <c r="N15" s="2268"/>
      <c r="O15" s="2268"/>
      <c r="P15" s="2268"/>
      <c r="Q15" s="2449"/>
      <c r="V15" s="1">
        <v>3</v>
      </c>
      <c r="W15" s="1">
        <v>0.97</v>
      </c>
      <c r="Z15" s="1">
        <v>3</v>
      </c>
      <c r="AA15" s="1">
        <v>0.97</v>
      </c>
    </row>
    <row r="16" spans="2:29" ht="4.5" customHeight="1" thickBot="1">
      <c r="B16" s="2267"/>
      <c r="C16" s="2268"/>
      <c r="D16" s="2268"/>
      <c r="E16" s="2260"/>
      <c r="F16" s="2268"/>
      <c r="G16" s="2268"/>
      <c r="H16" s="2268"/>
      <c r="I16" s="2268"/>
      <c r="J16" s="2268"/>
      <c r="K16" s="2268"/>
      <c r="L16" s="2268"/>
      <c r="M16" s="2268"/>
      <c r="N16" s="2268"/>
      <c r="O16" s="2268"/>
      <c r="P16" s="2268"/>
      <c r="Q16" s="2449"/>
      <c r="V16" s="1">
        <v>4</v>
      </c>
      <c r="W16" s="1">
        <v>0.9</v>
      </c>
      <c r="Z16" s="1">
        <v>4</v>
      </c>
      <c r="AA16" s="1">
        <v>0.93</v>
      </c>
    </row>
    <row r="17" spans="2:29" ht="14.25" thickBot="1">
      <c r="B17" s="2267"/>
      <c r="C17" s="2268"/>
      <c r="D17" s="2268"/>
      <c r="E17" s="2260" t="s">
        <v>1183</v>
      </c>
      <c r="F17" s="2268"/>
      <c r="G17" s="2268"/>
      <c r="H17" s="2272" t="s">
        <v>2834</v>
      </c>
      <c r="I17" s="2487">
        <f>I12*I15+M12*M15</f>
        <v>4</v>
      </c>
      <c r="J17" s="2268"/>
      <c r="K17" s="2268"/>
      <c r="L17" s="2268"/>
      <c r="M17" s="2268"/>
      <c r="N17" s="2268"/>
      <c r="O17" s="2268"/>
      <c r="P17" s="2268"/>
      <c r="Q17" s="2449"/>
      <c r="V17" s="1">
        <v>5</v>
      </c>
      <c r="W17" s="1"/>
      <c r="Z17" s="1">
        <v>5</v>
      </c>
      <c r="AA17" s="1"/>
    </row>
    <row r="18" spans="2:29">
      <c r="B18" s="2267"/>
      <c r="C18" s="2268"/>
      <c r="D18" s="2268"/>
      <c r="E18" s="2268"/>
      <c r="F18" s="2268"/>
      <c r="G18" s="2268"/>
      <c r="H18" s="2268"/>
      <c r="I18" s="2268"/>
      <c r="J18" s="2268"/>
      <c r="K18" s="2268"/>
      <c r="L18" s="2268"/>
      <c r="M18" s="2268"/>
      <c r="N18" s="2268"/>
      <c r="O18" s="2268"/>
      <c r="P18" s="2268"/>
      <c r="Q18" s="2449"/>
    </row>
    <row r="19" spans="2:29" hidden="1">
      <c r="B19" s="2267"/>
      <c r="C19" s="2268"/>
      <c r="D19" s="2536"/>
      <c r="E19" s="2260" t="s">
        <v>2213</v>
      </c>
      <c r="F19" s="2268"/>
      <c r="G19" s="2268"/>
      <c r="H19" s="2268"/>
      <c r="I19" s="2468">
        <f>IF(G12=W20,W25,V25)</f>
        <v>14.999999999999996</v>
      </c>
      <c r="J19" s="2268" t="s">
        <v>2219</v>
      </c>
      <c r="K19" s="2268"/>
      <c r="L19" s="2268"/>
      <c r="M19" s="2268"/>
      <c r="N19" s="2268"/>
      <c r="O19" s="2268"/>
      <c r="P19" s="2268"/>
      <c r="Q19" s="2449"/>
      <c r="T19" t="s">
        <v>2214</v>
      </c>
      <c r="V19" s="2473">
        <f>(1-I6)*100</f>
        <v>9.9999999999999982</v>
      </c>
      <c r="Z19">
        <f>IF($I$19&gt;=AA25,Z25,IF($I$19&gt;=AA24,Z24,IF($I$19&gt;=AA23,Z23,IF($I$19&gt;=AA22,Z22,Z21))))</f>
        <v>4</v>
      </c>
      <c r="AB19">
        <f>VLOOKUP($Z$19,Z21:AC25,3)</f>
        <v>0.05</v>
      </c>
      <c r="AC19">
        <f>VLOOKUP($Z$19,Z21:AC25,4)</f>
        <v>3.25</v>
      </c>
    </row>
    <row r="20" spans="2:29" ht="6" hidden="1" customHeight="1" thickBot="1">
      <c r="B20" s="2267"/>
      <c r="C20" s="2268"/>
      <c r="D20" s="2536"/>
      <c r="E20" s="2268"/>
      <c r="F20" s="2268"/>
      <c r="G20" s="2268"/>
      <c r="H20" s="2268"/>
      <c r="I20" s="2268"/>
      <c r="J20" s="2268"/>
      <c r="K20" s="2268"/>
      <c r="L20" s="2268"/>
      <c r="M20" s="2268"/>
      <c r="N20" s="2268"/>
      <c r="O20" s="2268"/>
      <c r="P20" s="2268"/>
      <c r="Q20" s="2449"/>
      <c r="V20" s="1" t="s">
        <v>2719</v>
      </c>
      <c r="W20" s="1" t="s">
        <v>79</v>
      </c>
      <c r="Z20" s="1" t="s">
        <v>2720</v>
      </c>
      <c r="AA20" s="1" t="s">
        <v>2223</v>
      </c>
      <c r="AB20" t="s">
        <v>3035</v>
      </c>
      <c r="AC20" t="s">
        <v>3036</v>
      </c>
    </row>
    <row r="21" spans="2:29" ht="14.25" hidden="1" thickBot="1">
      <c r="B21" s="2267"/>
      <c r="C21" s="2268"/>
      <c r="D21" s="2536"/>
      <c r="E21" s="2268"/>
      <c r="F21" s="2268"/>
      <c r="G21" s="2268"/>
      <c r="H21" s="2268"/>
      <c r="I21" s="2454">
        <f>IF(I19&gt;=35,5,I19*AB19+AC19)</f>
        <v>4</v>
      </c>
      <c r="J21" s="2268"/>
      <c r="K21" s="2268"/>
      <c r="L21" s="2268"/>
      <c r="M21" s="2268"/>
      <c r="N21" s="2268"/>
      <c r="O21" s="2268"/>
      <c r="P21" s="2268"/>
      <c r="Q21" s="2449"/>
      <c r="U21" s="145" t="s">
        <v>2215</v>
      </c>
      <c r="V21" s="1">
        <f>2*V19</f>
        <v>19.999999999999996</v>
      </c>
      <c r="W21" s="2474">
        <f>2*V19</f>
        <v>19.999999999999996</v>
      </c>
      <c r="Z21" s="1">
        <v>1</v>
      </c>
      <c r="AA21" s="1">
        <v>-5</v>
      </c>
      <c r="AB21">
        <f>(Z22-Z21)/(AA22-AA21)</f>
        <v>0.2</v>
      </c>
      <c r="AC21">
        <f>Z22-AB21*AA22</f>
        <v>2</v>
      </c>
    </row>
    <row r="22" spans="2:29" ht="12" hidden="1" customHeight="1">
      <c r="B22" s="2267"/>
      <c r="C22" s="2268"/>
      <c r="D22" s="2268"/>
      <c r="E22" s="2268"/>
      <c r="F22" s="2268"/>
      <c r="G22" s="2268"/>
      <c r="H22" s="2268"/>
      <c r="I22" s="2268"/>
      <c r="J22" s="2268"/>
      <c r="K22" s="2268"/>
      <c r="L22" s="2268"/>
      <c r="M22" s="2268"/>
      <c r="N22" s="2268"/>
      <c r="O22" s="2268"/>
      <c r="P22" s="2268"/>
      <c r="Q22" s="2449"/>
      <c r="U22" s="145" t="s">
        <v>2217</v>
      </c>
      <c r="V22" s="2474">
        <f>1.3*V19+1.7</f>
        <v>14.699999999999998</v>
      </c>
      <c r="W22" s="2362">
        <f>2*V19</f>
        <v>19.999999999999996</v>
      </c>
      <c r="Z22" s="1">
        <v>2</v>
      </c>
      <c r="AA22" s="1">
        <v>0</v>
      </c>
      <c r="AB22">
        <f>(Z23-Z22)/(AA23-AA22)</f>
        <v>0.2</v>
      </c>
      <c r="AC22">
        <f>Z23-AB22*AA23</f>
        <v>2</v>
      </c>
    </row>
    <row r="23" spans="2:29" ht="14.25" thickBot="1">
      <c r="B23" s="2267"/>
      <c r="C23" s="2450" t="s">
        <v>415</v>
      </c>
      <c r="D23" s="2260" t="s">
        <v>725</v>
      </c>
      <c r="E23" s="2268"/>
      <c r="F23" s="2268"/>
      <c r="G23" s="2268"/>
      <c r="H23" s="2268"/>
      <c r="I23" s="2268"/>
      <c r="J23" s="2268"/>
      <c r="K23" s="2268"/>
      <c r="L23" s="2268"/>
      <c r="M23" s="2268"/>
      <c r="N23" s="2268"/>
      <c r="O23" s="2268"/>
      <c r="P23" s="2268"/>
      <c r="Q23" s="2449"/>
      <c r="U23" s="145" t="s">
        <v>2218</v>
      </c>
      <c r="V23" s="2362">
        <f>1.3*V19+1.7</f>
        <v>14.699999999999998</v>
      </c>
      <c r="W23" s="2474">
        <f>2.7*V19-5.2</f>
        <v>21.799999999999997</v>
      </c>
      <c r="Z23" s="1">
        <v>3</v>
      </c>
      <c r="AA23" s="1">
        <v>5</v>
      </c>
      <c r="AB23">
        <f>(Z24-Z23)/(AA24-AA23)</f>
        <v>0.1</v>
      </c>
      <c r="AC23">
        <f>Z24-AB23*AA24</f>
        <v>2.5</v>
      </c>
    </row>
    <row r="24" spans="2:29" ht="14.25" thickBot="1">
      <c r="B24" s="2267"/>
      <c r="C24" s="2450"/>
      <c r="D24" s="2260"/>
      <c r="E24" s="3200" t="s">
        <v>2370</v>
      </c>
      <c r="F24" s="3201"/>
      <c r="G24" s="3202"/>
      <c r="H24" s="2268"/>
      <c r="I24" s="2260" t="s">
        <v>722</v>
      </c>
      <c r="J24" s="2268"/>
      <c r="K24" s="2268"/>
      <c r="L24" s="2268"/>
      <c r="M24" s="2260" t="s">
        <v>534</v>
      </c>
      <c r="N24" s="2260" t="s">
        <v>140</v>
      </c>
      <c r="O24" s="2268"/>
      <c r="P24" s="2268"/>
      <c r="Q24" s="2265"/>
      <c r="U24" s="145" t="s">
        <v>2216</v>
      </c>
      <c r="V24" s="1">
        <f>2*V19-5</f>
        <v>14.999999999999996</v>
      </c>
      <c r="W24" s="2362">
        <f>2.7*V19-5.2</f>
        <v>21.799999999999997</v>
      </c>
      <c r="Z24" s="1">
        <v>4</v>
      </c>
      <c r="AA24" s="1">
        <v>15</v>
      </c>
      <c r="AB24">
        <f>(Z25-Z24)/(AA25-AA24)</f>
        <v>0.05</v>
      </c>
      <c r="AC24">
        <f>Z25-AB24*AA25</f>
        <v>3.25</v>
      </c>
    </row>
    <row r="25" spans="2:29" ht="14.25" thickBot="1">
      <c r="B25" s="2267"/>
      <c r="C25" s="2268"/>
      <c r="D25" s="2260"/>
      <c r="E25" s="2260"/>
      <c r="F25" s="2260"/>
      <c r="G25" s="2260"/>
      <c r="H25" s="2475" t="s">
        <v>3222</v>
      </c>
      <c r="I25" s="2452">
        <v>0.9</v>
      </c>
      <c r="J25" s="2268"/>
      <c r="K25" s="2268"/>
      <c r="L25" s="2475" t="s">
        <v>2229</v>
      </c>
      <c r="M25" s="2451" t="str">
        <f>M44</f>
        <v>-</v>
      </c>
      <c r="N25" s="2470">
        <f>IF(N39=0,0,(N41-N40)/(N39-N40))</f>
        <v>0</v>
      </c>
      <c r="O25" s="2268" t="s">
        <v>2222</v>
      </c>
      <c r="P25" s="2268"/>
      <c r="Q25" s="2449"/>
      <c r="V25">
        <f>IF($V$19&lt;2.5,V21,IF($V$19&lt;7.5,V22,IF($V$19&lt;10,V23,V24)))</f>
        <v>14.999999999999996</v>
      </c>
      <c r="W25">
        <f>IF($V$19&lt;2.5,W21,IF($V$19&lt;7.5,W22,IF($V$19&lt;10,W23,W24)))</f>
        <v>21.799999999999997</v>
      </c>
      <c r="Z25" s="1">
        <v>5</v>
      </c>
      <c r="AA25" s="1">
        <v>35</v>
      </c>
    </row>
    <row r="26" spans="2:29" ht="14.25" thickBot="1">
      <c r="B26" s="2267"/>
      <c r="C26" s="2268"/>
      <c r="D26" s="2260"/>
      <c r="E26" s="2268"/>
      <c r="F26" s="2260"/>
      <c r="G26" s="2268"/>
      <c r="H26" s="2475" t="s">
        <v>3223</v>
      </c>
      <c r="I26" s="2452">
        <v>0.9</v>
      </c>
      <c r="J26" s="2260"/>
      <c r="K26" s="2268"/>
      <c r="L26" s="2260"/>
      <c r="M26" s="2268"/>
      <c r="N26" s="2260"/>
      <c r="O26" s="2268"/>
      <c r="P26" s="2260"/>
      <c r="Q26" s="2449"/>
    </row>
    <row r="27" spans="2:29" ht="14.25" thickBot="1">
      <c r="B27" s="2267"/>
      <c r="C27" s="2268"/>
      <c r="D27" s="2260"/>
      <c r="E27" s="2260"/>
      <c r="F27" s="2268"/>
      <c r="G27" s="2268"/>
      <c r="H27" s="2268"/>
      <c r="I27" s="2454">
        <f>IF($I$25&lt;=W39,V39,IF($I$25&lt;=W38,V38,IF($I$25&lt;=W37,V37,V36)))</f>
        <v>4</v>
      </c>
      <c r="J27" s="2268"/>
      <c r="K27" s="2268"/>
      <c r="L27" s="2268"/>
      <c r="M27" s="2454">
        <f>IF(OR(M25=0,M25="-"),0,IF(M25&lt;=W40,5,IF(M25&gt;W36,1,M25*X42+Y42)))</f>
        <v>0</v>
      </c>
      <c r="N27" s="2454">
        <f>IF(N61=T59,IF(N25=0,0,IF(N25&lt;=AA40,5,IF(N25&gt;AA36,1,N25*AB27+AC27))),N61)</f>
        <v>0</v>
      </c>
      <c r="O27" s="2268"/>
      <c r="P27" s="2260"/>
      <c r="Q27" s="2449"/>
      <c r="S27" t="s">
        <v>2371</v>
      </c>
      <c r="V27" s="2570">
        <f>IF($I$44&lt;=W40,V40,IF($I$44&lt;=W39,V39,IF($I$44&lt;=W38,V38,IF($I$44&lt;=W37,V37,V36))))</f>
        <v>1</v>
      </c>
      <c r="X27">
        <f>VLOOKUP($V$27,V36:Y40,3)</f>
        <v>-19.999999999999982</v>
      </c>
      <c r="Y27">
        <f>VLOOKUP($V$27,V36:Y40,4)</f>
        <v>22.999999999999982</v>
      </c>
      <c r="Z27">
        <f>IF($N$25&lt;=AA40,Z40,IF($N$25&lt;=AA39,Z39,IF($N$25&lt;=AA38,Z38,IF($N$25&lt;=AA37,Z37))))</f>
        <v>5</v>
      </c>
      <c r="AB27">
        <f>VLOOKUP($Z$27,Z36:AC40,3)</f>
        <v>0</v>
      </c>
      <c r="AC27">
        <f>VLOOKUP($Z$27,Z36:AC40,4)</f>
        <v>0</v>
      </c>
    </row>
    <row r="28" spans="2:29">
      <c r="B28" s="2267"/>
      <c r="C28" s="2268"/>
      <c r="D28" s="2260"/>
      <c r="E28" s="2268"/>
      <c r="F28" s="2260"/>
      <c r="G28" s="2268"/>
      <c r="H28" s="2260"/>
      <c r="I28" s="2268"/>
      <c r="J28" s="2260"/>
      <c r="K28" s="2268"/>
      <c r="L28" s="2260"/>
      <c r="M28" s="2268"/>
      <c r="N28" s="2260"/>
      <c r="O28" s="2268"/>
      <c r="P28" s="2260"/>
      <c r="Q28" s="2449"/>
      <c r="S28" t="s">
        <v>2370</v>
      </c>
    </row>
    <row r="29" spans="2:29">
      <c r="B29" s="2267"/>
      <c r="C29" s="2268"/>
      <c r="D29" s="2260"/>
      <c r="E29" s="2260"/>
      <c r="F29" s="2260"/>
      <c r="G29" s="2268"/>
      <c r="H29" s="2272" t="s">
        <v>471</v>
      </c>
      <c r="I29" s="2278">
        <f>H94</f>
        <v>3000</v>
      </c>
      <c r="J29" s="2268" t="s">
        <v>2573</v>
      </c>
      <c r="K29" s="2268"/>
      <c r="L29" s="2268"/>
      <c r="M29" s="2278">
        <f>IF(M27=0,0,メイン!E65)</f>
        <v>0</v>
      </c>
      <c r="N29" s="2278">
        <f>IF(N27=0,0,メイン!E64)</f>
        <v>0</v>
      </c>
      <c r="O29" s="2268"/>
      <c r="P29" s="2260"/>
      <c r="Q29" s="2449"/>
    </row>
    <row r="30" spans="2:29" ht="14.25" thickBot="1">
      <c r="B30" s="2267"/>
      <c r="C30" s="2268"/>
      <c r="D30" s="2260"/>
      <c r="E30" s="2268"/>
      <c r="F30" s="2260"/>
      <c r="G30" s="2268"/>
      <c r="H30" s="2260"/>
      <c r="I30" s="2268"/>
      <c r="J30" s="2260"/>
      <c r="K30" s="2268"/>
      <c r="L30" s="2260"/>
      <c r="M30" s="2268"/>
      <c r="N30" s="2260"/>
      <c r="O30" s="2268"/>
      <c r="P30" s="2260"/>
      <c r="Q30" s="2449"/>
    </row>
    <row r="31" spans="2:29" ht="14.25" thickBot="1">
      <c r="B31" s="2267"/>
      <c r="C31" s="2268"/>
      <c r="D31" s="2260"/>
      <c r="E31" s="2260" t="s">
        <v>727</v>
      </c>
      <c r="F31" s="2260"/>
      <c r="G31" s="2268"/>
      <c r="H31" s="2260"/>
      <c r="I31" s="2454">
        <f>IF(AND(I25=0,I44="-"),0,IF(E24=S28,I27,IF(I44&lt;=W40,5,IF(I44&gt;W36,1,I44*X27+Y27))))</f>
        <v>4</v>
      </c>
      <c r="J31" s="2260"/>
      <c r="K31" s="2268"/>
      <c r="L31" s="2260"/>
      <c r="M31" s="2454">
        <f>IF(M29+N29=0,0,M27*M29/M14+N27*N29/M14)</f>
        <v>0</v>
      </c>
      <c r="N31" s="2260"/>
      <c r="O31" s="2268"/>
      <c r="P31" s="2260"/>
      <c r="Q31" s="2449"/>
    </row>
    <row r="32" spans="2:29" s="2713" customFormat="1" ht="14.25" hidden="1" thickBot="1">
      <c r="B32" s="2267"/>
      <c r="C32" s="2268"/>
      <c r="D32" s="2260"/>
      <c r="E32" s="2268" t="s">
        <v>3342</v>
      </c>
      <c r="F32" s="2260"/>
      <c r="G32" s="2268"/>
      <c r="H32" s="2268" t="s">
        <v>3343</v>
      </c>
      <c r="I32" s="2454">
        <f>IF(I31&lt;2,1,I31-1)</f>
        <v>3</v>
      </c>
      <c r="J32" s="2260"/>
      <c r="K32" s="2268"/>
      <c r="L32" s="2260"/>
      <c r="M32" s="2469"/>
      <c r="N32" s="2260"/>
      <c r="O32" s="2268"/>
      <c r="P32" s="2260"/>
      <c r="Q32" s="2449"/>
    </row>
    <row r="33" spans="2:29" ht="14.25" hidden="1" thickBot="1">
      <c r="B33" s="2267"/>
      <c r="C33" s="2268"/>
      <c r="D33" s="2260"/>
      <c r="E33" s="2268"/>
      <c r="F33" s="2260"/>
      <c r="G33" s="2268"/>
      <c r="H33" s="2268" t="s">
        <v>3344</v>
      </c>
      <c r="I33" s="2454"/>
      <c r="J33" s="2260"/>
      <c r="K33" s="2268"/>
      <c r="L33" s="2260"/>
      <c r="M33" s="2268"/>
      <c r="N33" s="2260"/>
      <c r="O33" s="2268"/>
      <c r="P33" s="2260"/>
      <c r="Q33" s="2449"/>
    </row>
    <row r="34" spans="2:29" s="2530" customFormat="1" ht="14.25" thickBot="1">
      <c r="B34" s="2267"/>
      <c r="C34" s="2268"/>
      <c r="D34" s="2260"/>
      <c r="E34" s="2268"/>
      <c r="F34" s="2260"/>
      <c r="G34" s="2268"/>
      <c r="H34" s="2260"/>
      <c r="I34" s="2487">
        <f>I31*I29/($I$29+$M$29+$N$29)+M31*(M29+N29)/($I$29+$M$29+$N$29)</f>
        <v>4</v>
      </c>
      <c r="J34" s="2260"/>
      <c r="K34" s="2268"/>
      <c r="L34" s="2260"/>
      <c r="M34" s="2268"/>
      <c r="N34" s="2260"/>
      <c r="O34" s="2268"/>
      <c r="P34" s="2260"/>
      <c r="Q34" s="2449"/>
    </row>
    <row r="35" spans="2:29" hidden="1">
      <c r="B35" s="2267"/>
      <c r="C35" s="2268"/>
      <c r="D35" s="2260"/>
      <c r="E35" s="2268"/>
      <c r="F35" s="2260"/>
      <c r="G35" s="2268"/>
      <c r="H35" s="2260"/>
      <c r="I35" s="2268"/>
      <c r="J35" s="2260"/>
      <c r="K35" s="2268"/>
      <c r="L35" s="2260"/>
      <c r="M35" s="2268"/>
      <c r="N35" s="2260"/>
      <c r="O35" s="2268"/>
      <c r="P35" s="2260"/>
      <c r="Q35" s="2449"/>
      <c r="V35" s="1" t="s">
        <v>2720</v>
      </c>
      <c r="W35" s="1" t="s">
        <v>2221</v>
      </c>
      <c r="X35" t="s">
        <v>3035</v>
      </c>
      <c r="Y35" t="s">
        <v>3036</v>
      </c>
      <c r="Z35" s="1" t="s">
        <v>2720</v>
      </c>
      <c r="AA35" s="1" t="s">
        <v>2556</v>
      </c>
      <c r="AB35" t="s">
        <v>3035</v>
      </c>
      <c r="AC35" t="s">
        <v>3036</v>
      </c>
    </row>
    <row r="36" spans="2:29" ht="14.25" hidden="1" thickBot="1">
      <c r="B36" s="2267"/>
      <c r="C36" s="2268"/>
      <c r="D36" s="2569"/>
      <c r="E36" s="2260" t="s">
        <v>2633</v>
      </c>
      <c r="F36" s="2260"/>
      <c r="G36" s="2260"/>
      <c r="H36" s="2260"/>
      <c r="I36" s="2472">
        <f>-100*I25+105</f>
        <v>15</v>
      </c>
      <c r="J36" s="2260" t="s">
        <v>2212</v>
      </c>
      <c r="K36" s="2268"/>
      <c r="L36" s="2260"/>
      <c r="M36" s="2472" t="e">
        <f>-100*M25+105</f>
        <v>#VALUE!</v>
      </c>
      <c r="N36" s="2260" t="s">
        <v>2212</v>
      </c>
      <c r="O36" s="2268"/>
      <c r="P36" s="2260"/>
      <c r="Q36" s="2449"/>
      <c r="V36" s="1">
        <v>1</v>
      </c>
      <c r="W36" s="1">
        <v>1.1000000000000001</v>
      </c>
      <c r="X36">
        <f>(V37-V36)/(W37-W36)</f>
        <v>-19.999999999999982</v>
      </c>
      <c r="Y36">
        <f>V37-X36*W37</f>
        <v>22.999999999999982</v>
      </c>
      <c r="Z36" s="1">
        <v>1</v>
      </c>
      <c r="AA36" s="1">
        <v>1.3</v>
      </c>
      <c r="AB36">
        <f>(Z37-Z36)/(AA37-AA36)</f>
        <v>-9.9999999999999911</v>
      </c>
      <c r="AC36">
        <f>Z37-AB36*AA37</f>
        <v>13.999999999999989</v>
      </c>
    </row>
    <row r="37" spans="2:29" ht="14.25" hidden="1" thickBot="1">
      <c r="B37" s="2267"/>
      <c r="C37" s="2268"/>
      <c r="D37" s="2569"/>
      <c r="E37" s="2268"/>
      <c r="F37" s="2260"/>
      <c r="G37" s="2268"/>
      <c r="H37" s="2260"/>
      <c r="I37" s="2454">
        <f>IF(I25=0,"-",IF(I36&gt;=W50,5,I36*X44+Y44))</f>
        <v>4</v>
      </c>
      <c r="J37" s="2260"/>
      <c r="K37" s="2268"/>
      <c r="L37" s="2260"/>
      <c r="M37" s="2454" t="e">
        <f>IF(M25=0,"-",IF(M36&gt;=AA50,5,M36*AB44+AC44))</f>
        <v>#VALUE!</v>
      </c>
      <c r="N37" s="2476"/>
      <c r="O37" s="2268"/>
      <c r="P37" s="2260"/>
      <c r="Q37" s="2449"/>
      <c r="S37">
        <v>1</v>
      </c>
      <c r="V37" s="1">
        <v>2</v>
      </c>
      <c r="W37" s="1">
        <v>1.05</v>
      </c>
      <c r="X37">
        <f>(V38-V37)/(W38-W37)</f>
        <v>-19.999999999999982</v>
      </c>
      <c r="Y37">
        <f>V38-X37*W38</f>
        <v>22.999999999999982</v>
      </c>
      <c r="Z37" s="1">
        <v>2</v>
      </c>
      <c r="AA37" s="1">
        <v>1.2</v>
      </c>
      <c r="AB37">
        <f>(Z38-Z37)/(AA38-AA37)</f>
        <v>-10.000000000000014</v>
      </c>
      <c r="AC37">
        <f>Z38-AB37*AA38</f>
        <v>14.000000000000016</v>
      </c>
    </row>
    <row r="38" spans="2:29" ht="14.25" thickBot="1">
      <c r="B38" s="2267"/>
      <c r="C38" s="2268"/>
      <c r="D38" s="2260"/>
      <c r="E38" s="2268"/>
      <c r="F38" s="2260"/>
      <c r="G38" s="2268"/>
      <c r="H38" s="2260"/>
      <c r="I38" s="2268"/>
      <c r="J38" s="2260"/>
      <c r="K38" s="2268"/>
      <c r="L38" s="2260"/>
      <c r="M38" s="2268"/>
      <c r="N38" s="2260"/>
      <c r="O38" s="2268"/>
      <c r="P38" s="2260"/>
      <c r="Q38" s="2449"/>
      <c r="S38">
        <v>2</v>
      </c>
      <c r="V38" s="1">
        <v>3</v>
      </c>
      <c r="W38" s="1">
        <v>1</v>
      </c>
      <c r="X38">
        <f>(V39-V38)/(W39-W38)</f>
        <v>-10.000000000000002</v>
      </c>
      <c r="Y38">
        <f>V39-X38*W39</f>
        <v>13.000000000000002</v>
      </c>
      <c r="Z38" s="1">
        <v>3</v>
      </c>
      <c r="AA38" s="1">
        <v>1.1000000000000001</v>
      </c>
      <c r="AB38">
        <f>(Z39-Z38)/(AA39-AA38)</f>
        <v>-9.9999999999999911</v>
      </c>
      <c r="AC38">
        <f>Z39-AB38*AA39</f>
        <v>13.999999999999991</v>
      </c>
    </row>
    <row r="39" spans="2:29">
      <c r="B39" s="2267"/>
      <c r="C39" s="2268"/>
      <c r="D39" s="47" t="s">
        <v>733</v>
      </c>
      <c r="E39" s="2268"/>
      <c r="F39" s="2268"/>
      <c r="G39" s="2268"/>
      <c r="H39" s="2268"/>
      <c r="I39" s="2261"/>
      <c r="J39" s="2268" t="s">
        <v>726</v>
      </c>
      <c r="K39" s="2268"/>
      <c r="L39" s="2268"/>
      <c r="M39" s="2261"/>
      <c r="N39" s="2261"/>
      <c r="O39" s="2268" t="s">
        <v>726</v>
      </c>
      <c r="P39" s="2268"/>
      <c r="Q39" s="2449"/>
      <c r="S39">
        <v>3</v>
      </c>
      <c r="V39" s="1">
        <v>4</v>
      </c>
      <c r="W39" s="1">
        <v>0.9</v>
      </c>
      <c r="X39">
        <f>(V40-V39)/(W40-W39)</f>
        <v>-4.9999999999999982</v>
      </c>
      <c r="Y39">
        <f>V40-X39*W40</f>
        <v>8.4999999999999982</v>
      </c>
      <c r="Z39" s="1">
        <v>4</v>
      </c>
      <c r="AA39" s="1">
        <v>1</v>
      </c>
      <c r="AB39">
        <f>(Z40-Z39)/(AA40-AA39)</f>
        <v>-10.000000000000002</v>
      </c>
      <c r="AC39">
        <f>Z40-AB39*AA40</f>
        <v>14.000000000000002</v>
      </c>
    </row>
    <row r="40" spans="2:29">
      <c r="B40" s="2267"/>
      <c r="C40" s="2268"/>
      <c r="D40" s="47"/>
      <c r="E40" s="2268" t="s">
        <v>141</v>
      </c>
      <c r="F40" s="2268"/>
      <c r="G40" s="2268"/>
      <c r="H40" s="2268"/>
      <c r="I40" s="2493"/>
      <c r="J40" s="2268"/>
      <c r="K40" s="2268"/>
      <c r="L40" s="2268"/>
      <c r="M40" s="2493"/>
      <c r="N40" s="2431">
        <f>N52</f>
        <v>0</v>
      </c>
      <c r="O40" s="2268" t="s">
        <v>2228</v>
      </c>
      <c r="P40" s="2268"/>
      <c r="Q40" s="2449"/>
      <c r="S40">
        <v>4</v>
      </c>
      <c r="V40" s="1">
        <v>5</v>
      </c>
      <c r="W40" s="1">
        <v>0.7</v>
      </c>
      <c r="Z40" s="1">
        <v>5</v>
      </c>
      <c r="AA40" s="1">
        <v>0.9</v>
      </c>
    </row>
    <row r="41" spans="2:29">
      <c r="B41" s="2267"/>
      <c r="C41" s="2268"/>
      <c r="D41" s="47" t="s">
        <v>734</v>
      </c>
      <c r="E41" s="2268"/>
      <c r="F41" s="2268"/>
      <c r="G41" s="2268"/>
      <c r="H41" s="2268"/>
      <c r="I41" s="2266"/>
      <c r="J41" s="2268"/>
      <c r="K41" s="2268"/>
      <c r="L41" s="2268"/>
      <c r="M41" s="2266"/>
      <c r="N41" s="2266"/>
      <c r="O41" s="2268"/>
      <c r="P41" s="2268"/>
      <c r="Q41" s="2449"/>
      <c r="S41">
        <v>5</v>
      </c>
    </row>
    <row r="42" spans="2:29">
      <c r="B42" s="2267"/>
      <c r="C42" s="2268"/>
      <c r="D42" s="47" t="s">
        <v>2225</v>
      </c>
      <c r="E42" s="2268"/>
      <c r="F42" s="2268"/>
      <c r="G42" s="2268"/>
      <c r="H42" s="2268"/>
      <c r="I42" s="2266"/>
      <c r="J42" s="2268"/>
      <c r="K42" s="2268"/>
      <c r="L42" s="2268"/>
      <c r="M42" s="2266"/>
      <c r="N42" s="2266"/>
      <c r="O42" s="2268"/>
      <c r="P42" s="2268"/>
      <c r="Q42" s="2449"/>
      <c r="U42" t="s">
        <v>924</v>
      </c>
      <c r="V42">
        <f>IF($M$25&lt;=W40,V40,IF($M$25&lt;=W39,V39,IF($M$25&lt;=W38,V38,IF($M$25&lt;=W37,V37,V36))))</f>
        <v>1</v>
      </c>
      <c r="X42">
        <f>VLOOKUP($V$42,V36:Y40,3)</f>
        <v>-19.999999999999982</v>
      </c>
      <c r="Y42">
        <f>VLOOKUP($V$42,V36:Y40,4)</f>
        <v>22.999999999999982</v>
      </c>
    </row>
    <row r="43" spans="2:29" ht="14.25" thickBot="1">
      <c r="B43" s="2267"/>
      <c r="C43" s="2268"/>
      <c r="D43" s="47" t="s">
        <v>612</v>
      </c>
      <c r="E43" s="2268"/>
      <c r="F43" s="2268"/>
      <c r="G43" s="2268"/>
      <c r="H43" s="2268"/>
      <c r="I43" s="2263"/>
      <c r="J43" s="2268" t="s">
        <v>726</v>
      </c>
      <c r="K43" s="2268"/>
      <c r="L43" s="2268"/>
      <c r="M43" s="2263"/>
      <c r="N43" s="2263"/>
      <c r="O43" s="2268" t="s">
        <v>726</v>
      </c>
      <c r="P43" s="2268"/>
      <c r="Q43" s="2449"/>
    </row>
    <row r="44" spans="2:29">
      <c r="B44" s="2267"/>
      <c r="C44" s="2268"/>
      <c r="D44" s="2268"/>
      <c r="E44" s="2264"/>
      <c r="F44" s="2268"/>
      <c r="G44" s="2268"/>
      <c r="H44" s="962" t="s">
        <v>2230</v>
      </c>
      <c r="I44" s="2455" t="str">
        <f>IF(I41=0,"-",ROUND(I41/I39,5))</f>
        <v>-</v>
      </c>
      <c r="J44" s="2268"/>
      <c r="K44" s="2268"/>
      <c r="L44" s="2268"/>
      <c r="M44" s="2455" t="str">
        <f>IF(M41=0,"-",ROUND(M41/M39,5))</f>
        <v>-</v>
      </c>
      <c r="N44" s="2268"/>
      <c r="O44" s="2268"/>
      <c r="P44" s="2268"/>
      <c r="Q44" s="2449"/>
      <c r="V44">
        <f>IF($I$36&gt;=W50,V50,IF($I$36&gt;=W49,V49,IF($I$36&gt;=W48,V48,IF($I$36&gt;=W47,V47,V46))))</f>
        <v>4</v>
      </c>
      <c r="X44">
        <f>VLOOKUP($V$44,V46:Y50,3)</f>
        <v>0.05</v>
      </c>
      <c r="Y44">
        <f>VLOOKUP($V$44,V46:Y50,4)</f>
        <v>3.25</v>
      </c>
      <c r="Z44" t="e">
        <f>IF($M$36&gt;=AA50,Z50,IF($M$36&gt;=AA49,Z49,IF($M$36&gt;=AA48,Z48,IF($M$36&gt;=AA47,Z47,Z46))))</f>
        <v>#VALUE!</v>
      </c>
      <c r="AB44">
        <f>VLOOKUP($Z$19,Z46:AC50,3)</f>
        <v>0.05</v>
      </c>
      <c r="AC44">
        <f>VLOOKUP($Z$19,Z46:AC50,4)</f>
        <v>3.25</v>
      </c>
    </row>
    <row r="45" spans="2:29">
      <c r="B45" s="2267"/>
      <c r="C45" s="2268"/>
      <c r="D45" s="2268"/>
      <c r="E45" s="2264"/>
      <c r="F45" s="2268"/>
      <c r="G45" s="2268"/>
      <c r="H45" s="962" t="s">
        <v>2231</v>
      </c>
      <c r="I45" s="2455" t="str">
        <f>IF(I42=0,"-",ROUND(I42/I39,5))</f>
        <v>-</v>
      </c>
      <c r="J45" s="2268"/>
      <c r="K45" s="2268"/>
      <c r="L45" s="2268"/>
      <c r="M45" s="2455" t="str">
        <f>IF(M42=0,"-",ROUND(M42/M39,5))</f>
        <v>-</v>
      </c>
      <c r="N45" s="2268"/>
      <c r="O45" s="2268"/>
      <c r="P45" s="2268"/>
      <c r="Q45" s="2449"/>
      <c r="T45" t="s">
        <v>2224</v>
      </c>
      <c r="V45" s="1" t="s">
        <v>2720</v>
      </c>
      <c r="W45" s="1" t="s">
        <v>2221</v>
      </c>
      <c r="X45" t="s">
        <v>3035</v>
      </c>
      <c r="Y45" t="s">
        <v>3036</v>
      </c>
      <c r="Z45" s="1" t="s">
        <v>2720</v>
      </c>
      <c r="AA45" s="1" t="s">
        <v>534</v>
      </c>
      <c r="AB45" t="s">
        <v>3035</v>
      </c>
      <c r="AC45" t="s">
        <v>3036</v>
      </c>
    </row>
    <row r="46" spans="2:29">
      <c r="B46" s="2267"/>
      <c r="C46" s="2268"/>
      <c r="D46" s="2268"/>
      <c r="E46" s="2268" t="s">
        <v>2226</v>
      </c>
      <c r="F46" s="2268"/>
      <c r="G46" s="2268"/>
      <c r="H46" s="2268"/>
      <c r="I46" s="2268"/>
      <c r="J46" s="2268"/>
      <c r="K46" s="2268"/>
      <c r="L46" s="2268"/>
      <c r="M46" s="2268"/>
      <c r="N46" s="2268"/>
      <c r="O46" s="2260"/>
      <c r="P46" s="2268"/>
      <c r="Q46" s="2449"/>
      <c r="V46" s="1">
        <v>1</v>
      </c>
      <c r="W46" s="1">
        <v>-5</v>
      </c>
      <c r="X46">
        <f>(V47-V46)/(W47-W46)</f>
        <v>0.2</v>
      </c>
      <c r="Y46">
        <f>V47-X46*W47</f>
        <v>2</v>
      </c>
      <c r="Z46" s="1">
        <v>1</v>
      </c>
      <c r="AA46" s="1">
        <v>-5</v>
      </c>
      <c r="AB46">
        <f>(Z47-Z46)/(AA47-AA46)</f>
        <v>0.2</v>
      </c>
      <c r="AC46">
        <f>Z47-AB46*AA47</f>
        <v>2</v>
      </c>
    </row>
    <row r="47" spans="2:29">
      <c r="B47" s="2267"/>
      <c r="C47" s="2268"/>
      <c r="D47" s="2268"/>
      <c r="E47" s="2268" t="s">
        <v>142</v>
      </c>
      <c r="F47" s="2260"/>
      <c r="G47" s="2260"/>
      <c r="H47" s="2260"/>
      <c r="I47" s="2260"/>
      <c r="J47" s="2260"/>
      <c r="K47" s="2260"/>
      <c r="L47" s="2260"/>
      <c r="M47" s="2260"/>
      <c r="N47" s="2260"/>
      <c r="O47" s="2260"/>
      <c r="P47" s="2268"/>
      <c r="Q47" s="2449"/>
      <c r="V47" s="1">
        <v>2</v>
      </c>
      <c r="W47" s="1">
        <v>0</v>
      </c>
      <c r="X47">
        <f>(V48-V47)/(W48-W47)</f>
        <v>0.2</v>
      </c>
      <c r="Y47">
        <f>V48-X47*W48</f>
        <v>2</v>
      </c>
      <c r="Z47" s="1">
        <v>2</v>
      </c>
      <c r="AA47" s="1">
        <v>0</v>
      </c>
      <c r="AB47">
        <f>(Z48-Z47)/(AA48-AA47)</f>
        <v>0.2</v>
      </c>
      <c r="AC47">
        <f>Z48-AB47*AA48</f>
        <v>2</v>
      </c>
    </row>
    <row r="48" spans="2:29">
      <c r="B48" s="2267"/>
      <c r="C48" s="2268"/>
      <c r="D48" s="2268"/>
      <c r="E48" s="2268"/>
      <c r="F48" s="2268"/>
      <c r="G48" s="2268"/>
      <c r="H48" s="2268"/>
      <c r="I48" s="2268"/>
      <c r="J48" s="2268"/>
      <c r="K48" s="2268"/>
      <c r="L48" s="2268"/>
      <c r="M48" s="2260"/>
      <c r="N48" s="2260"/>
      <c r="O48" s="2260"/>
      <c r="P48" s="2268"/>
      <c r="Q48" s="2449"/>
      <c r="V48" s="1">
        <v>3</v>
      </c>
      <c r="W48" s="1">
        <v>5</v>
      </c>
      <c r="X48">
        <f>(V49-V48)/(W49-W48)</f>
        <v>0.1</v>
      </c>
      <c r="Y48">
        <f>V49-X48*W49</f>
        <v>2.5</v>
      </c>
      <c r="Z48" s="1">
        <v>3</v>
      </c>
      <c r="AA48" s="1">
        <v>5</v>
      </c>
      <c r="AB48">
        <f>(Z49-Z48)/(AA49-AA48)</f>
        <v>0.1</v>
      </c>
      <c r="AC48">
        <f>Z49-AB48*AA49</f>
        <v>2.5</v>
      </c>
    </row>
    <row r="49" spans="2:29">
      <c r="B49" s="2267"/>
      <c r="C49" s="2268"/>
      <c r="D49" s="2268"/>
      <c r="E49" s="2260"/>
      <c r="F49" s="2260"/>
      <c r="G49" s="2260"/>
      <c r="H49" s="2260"/>
      <c r="I49" s="2260"/>
      <c r="J49" s="2260"/>
      <c r="K49" s="2260"/>
      <c r="L49" s="2260"/>
      <c r="M49" s="2260"/>
      <c r="N49" s="2260"/>
      <c r="O49" s="2260"/>
      <c r="P49" s="2268"/>
      <c r="Q49" s="2449"/>
      <c r="V49" s="1">
        <v>4</v>
      </c>
      <c r="W49" s="1">
        <v>15</v>
      </c>
      <c r="X49">
        <f>(V50-V49)/(W50-W49)</f>
        <v>0.05</v>
      </c>
      <c r="Y49">
        <f>V50-X49*W50</f>
        <v>3.25</v>
      </c>
      <c r="Z49" s="1">
        <v>4</v>
      </c>
      <c r="AA49" s="1">
        <v>15</v>
      </c>
      <c r="AB49">
        <f>(Z50-Z49)/(AA50-AA49)</f>
        <v>0.05</v>
      </c>
      <c r="AC49">
        <f>Z50-AB49*AA50</f>
        <v>3.25</v>
      </c>
    </row>
    <row r="50" spans="2:29">
      <c r="B50" s="2267"/>
      <c r="C50" s="2268"/>
      <c r="D50" s="2268" t="s">
        <v>3220</v>
      </c>
      <c r="E50" s="2260" t="s">
        <v>2632</v>
      </c>
      <c r="F50" s="2260"/>
      <c r="G50" s="2260"/>
      <c r="H50" s="2260"/>
      <c r="I50" s="2260"/>
      <c r="J50" s="2260"/>
      <c r="K50" s="2260"/>
      <c r="L50" s="2260"/>
      <c r="M50" s="2260"/>
      <c r="N50" s="2260"/>
      <c r="O50" s="2260"/>
      <c r="P50" s="2268"/>
      <c r="Q50" s="2449"/>
      <c r="V50" s="1">
        <v>5</v>
      </c>
      <c r="W50" s="1">
        <v>35</v>
      </c>
      <c r="Z50" s="1">
        <v>5</v>
      </c>
      <c r="AA50" s="1">
        <v>35</v>
      </c>
    </row>
    <row r="51" spans="2:29" ht="14.25" thickBot="1">
      <c r="B51" s="2267"/>
      <c r="C51" s="2268"/>
      <c r="D51" s="2268"/>
      <c r="E51" s="2260"/>
      <c r="F51" s="2260"/>
      <c r="G51" s="2260"/>
      <c r="H51" s="2456" t="s">
        <v>2011</v>
      </c>
      <c r="I51" s="2260" t="s">
        <v>416</v>
      </c>
      <c r="J51" s="2260" t="s">
        <v>417</v>
      </c>
      <c r="K51" s="2260" t="s">
        <v>2012</v>
      </c>
      <c r="L51" s="2260" t="s">
        <v>418</v>
      </c>
      <c r="M51" s="2260" t="s">
        <v>419</v>
      </c>
      <c r="N51" s="2260" t="s">
        <v>1917</v>
      </c>
      <c r="O51" s="2260"/>
      <c r="P51" s="2268"/>
      <c r="Q51" s="2449"/>
    </row>
    <row r="52" spans="2:29" ht="14.25" thickBot="1">
      <c r="B52" s="2267"/>
      <c r="C52" s="2268"/>
      <c r="D52" s="2268"/>
      <c r="E52" s="2260"/>
      <c r="F52" s="2260"/>
      <c r="G52" s="1524" t="s">
        <v>535</v>
      </c>
      <c r="H52" s="2333"/>
      <c r="I52" s="2278">
        <f>H52*メイン!E$64</f>
        <v>0</v>
      </c>
      <c r="J52" s="2278">
        <v>0</v>
      </c>
      <c r="K52" s="2261"/>
      <c r="L52" s="2278">
        <v>12181</v>
      </c>
      <c r="M52" s="2446">
        <f>I52*J52+K52*L52</f>
        <v>0</v>
      </c>
      <c r="N52" s="2447">
        <f>SUM(M52:M56)/1000</f>
        <v>0</v>
      </c>
      <c r="O52" s="2268" t="s">
        <v>726</v>
      </c>
      <c r="P52" s="2268"/>
      <c r="Q52" s="2449"/>
    </row>
    <row r="53" spans="2:29">
      <c r="B53" s="2267"/>
      <c r="C53" s="2268"/>
      <c r="D53" s="2268"/>
      <c r="E53" s="2260"/>
      <c r="F53" s="2260"/>
      <c r="G53" s="1524" t="s">
        <v>536</v>
      </c>
      <c r="H53" s="2334"/>
      <c r="I53" s="2278">
        <f>H53*メイン!E$64</f>
        <v>0</v>
      </c>
      <c r="J53" s="2278">
        <v>87</v>
      </c>
      <c r="K53" s="2266"/>
      <c r="L53" s="2278">
        <v>9571</v>
      </c>
      <c r="M53" s="2278">
        <f>I53*J53+K53*L53</f>
        <v>0</v>
      </c>
      <c r="N53" s="2260"/>
      <c r="O53" s="2260"/>
      <c r="P53" s="2268"/>
      <c r="Q53" s="2449"/>
    </row>
    <row r="54" spans="2:29">
      <c r="B54" s="2267"/>
      <c r="C54" s="2268"/>
      <c r="D54" s="2268"/>
      <c r="E54" s="2260"/>
      <c r="F54" s="2260"/>
      <c r="G54" s="1524" t="s">
        <v>2008</v>
      </c>
      <c r="H54" s="2334"/>
      <c r="I54" s="2278">
        <f>H54*メイン!E$64</f>
        <v>0</v>
      </c>
      <c r="J54" s="2278">
        <v>167</v>
      </c>
      <c r="K54" s="2266"/>
      <c r="L54" s="2278">
        <v>4771</v>
      </c>
      <c r="M54" s="2278">
        <f>I54*J54+K54*L54</f>
        <v>0</v>
      </c>
      <c r="N54" s="2260"/>
      <c r="O54" s="2260"/>
      <c r="P54" s="2268"/>
      <c r="Q54" s="2449"/>
    </row>
    <row r="55" spans="2:29">
      <c r="B55" s="2267"/>
      <c r="C55" s="2268"/>
      <c r="D55" s="2268"/>
      <c r="E55" s="2260"/>
      <c r="F55" s="2260"/>
      <c r="G55" s="1524" t="s">
        <v>2009</v>
      </c>
      <c r="H55" s="2334"/>
      <c r="I55" s="2278">
        <f>H55*メイン!E$64</f>
        <v>0</v>
      </c>
      <c r="J55" s="2278">
        <v>47</v>
      </c>
      <c r="K55" s="2266"/>
      <c r="L55" s="2278">
        <v>15571</v>
      </c>
      <c r="M55" s="2278">
        <f>I55*J55+K55*L55</f>
        <v>0</v>
      </c>
      <c r="N55" s="2260"/>
      <c r="O55" s="2260"/>
      <c r="P55" s="2268"/>
      <c r="Q55" s="2449"/>
    </row>
    <row r="56" spans="2:29" ht="14.25" thickBot="1">
      <c r="B56" s="2267"/>
      <c r="C56" s="2268"/>
      <c r="D56" s="2268"/>
      <c r="E56" s="2260"/>
      <c r="F56" s="2260"/>
      <c r="G56" s="1524" t="s">
        <v>2010</v>
      </c>
      <c r="H56" s="2335"/>
      <c r="I56" s="2278">
        <f>H56*メイン!E$64</f>
        <v>0</v>
      </c>
      <c r="J56" s="2278">
        <v>0</v>
      </c>
      <c r="K56" s="2263"/>
      <c r="L56" s="2278">
        <v>21211</v>
      </c>
      <c r="M56" s="2278">
        <f>I56*J56+K56*L56</f>
        <v>0</v>
      </c>
      <c r="N56" s="2260"/>
      <c r="O56" s="2260"/>
      <c r="P56" s="2268"/>
      <c r="Q56" s="2449"/>
    </row>
    <row r="57" spans="2:29">
      <c r="B57" s="2267"/>
      <c r="C57" s="2268"/>
      <c r="D57" s="2268"/>
      <c r="E57" s="2268"/>
      <c r="F57" s="2268"/>
      <c r="G57" s="2268" t="s">
        <v>3219</v>
      </c>
      <c r="H57" s="2523">
        <f>SUM(H52:H56)</f>
        <v>0</v>
      </c>
      <c r="I57" s="2268"/>
      <c r="J57" s="2260"/>
      <c r="K57" s="2268"/>
      <c r="L57" s="2268"/>
      <c r="M57" s="2268"/>
      <c r="N57" s="2268"/>
      <c r="O57" s="2268"/>
      <c r="P57" s="2268"/>
      <c r="Q57" s="2449"/>
    </row>
    <row r="58" spans="2:29">
      <c r="B58" s="2267"/>
      <c r="C58" s="2268"/>
      <c r="D58" s="2268"/>
      <c r="E58" s="2268"/>
      <c r="F58" s="2268"/>
      <c r="G58" s="2268"/>
      <c r="H58" s="2268"/>
      <c r="I58" s="2268"/>
      <c r="J58" s="2260"/>
      <c r="K58" s="2268"/>
      <c r="L58" s="2268"/>
      <c r="M58" s="2268"/>
      <c r="N58" s="2268"/>
      <c r="O58" s="2268"/>
      <c r="P58" s="2268"/>
      <c r="Q58" s="2449"/>
    </row>
    <row r="59" spans="2:29">
      <c r="B59" s="2267"/>
      <c r="C59" s="2268"/>
      <c r="D59" s="2268"/>
      <c r="E59" s="2268"/>
      <c r="F59" s="2268"/>
      <c r="G59" s="2268"/>
      <c r="H59" s="2268"/>
      <c r="I59" s="2268"/>
      <c r="J59" s="2260"/>
      <c r="K59" s="2268"/>
      <c r="L59" s="2268"/>
      <c r="M59" s="2268"/>
      <c r="N59" s="2268"/>
      <c r="O59" s="2268"/>
      <c r="P59" s="2268"/>
      <c r="Q59" s="2449"/>
      <c r="T59" s="2522" t="s">
        <v>3211</v>
      </c>
    </row>
    <row r="60" spans="2:29" ht="14.25" thickBot="1">
      <c r="B60" s="2267"/>
      <c r="C60" s="2268"/>
      <c r="D60" s="2521" t="s">
        <v>3210</v>
      </c>
      <c r="E60" s="2268"/>
      <c r="F60" s="2268"/>
      <c r="G60" s="2268"/>
      <c r="H60" s="2268"/>
      <c r="I60" s="2268"/>
      <c r="J60" s="2260"/>
      <c r="K60" s="2268"/>
      <c r="L60" s="2268"/>
      <c r="M60" s="2268"/>
      <c r="N60" s="2268"/>
      <c r="O60" s="2268"/>
      <c r="P60" s="2268"/>
      <c r="Q60" s="2449"/>
      <c r="T60">
        <v>1</v>
      </c>
    </row>
    <row r="61" spans="2:29" ht="13.5" customHeight="1" thickBot="1">
      <c r="B61" s="2267"/>
      <c r="C61" s="2268"/>
      <c r="D61" s="2268"/>
      <c r="E61" s="3203" t="s">
        <v>3209</v>
      </c>
      <c r="F61" s="3203"/>
      <c r="G61" s="3203"/>
      <c r="H61" s="3203"/>
      <c r="I61" s="3203"/>
      <c r="J61" s="3203"/>
      <c r="K61" s="3203"/>
      <c r="L61" s="2268"/>
      <c r="M61" s="2268" t="s">
        <v>3218</v>
      </c>
      <c r="N61" s="3204"/>
      <c r="O61" s="3205"/>
      <c r="P61" s="3206"/>
      <c r="Q61" s="2449"/>
      <c r="T61">
        <v>4</v>
      </c>
    </row>
    <row r="62" spans="2:29">
      <c r="B62" s="2267"/>
      <c r="C62" s="2268"/>
      <c r="D62" s="2268"/>
      <c r="E62" s="3203"/>
      <c r="F62" s="3203"/>
      <c r="G62" s="3203"/>
      <c r="H62" s="3203"/>
      <c r="I62" s="3203"/>
      <c r="J62" s="3203"/>
      <c r="K62" s="3203"/>
      <c r="L62" s="2268"/>
      <c r="M62" s="2268"/>
      <c r="N62" s="2268"/>
      <c r="O62" s="2268"/>
      <c r="P62" s="2268"/>
      <c r="Q62" s="2449"/>
    </row>
    <row r="63" spans="2:29">
      <c r="B63" s="2267"/>
      <c r="C63" s="2268"/>
      <c r="D63" s="2268"/>
      <c r="E63" s="3203"/>
      <c r="F63" s="3203"/>
      <c r="G63" s="3203"/>
      <c r="H63" s="3203"/>
      <c r="I63" s="3203"/>
      <c r="J63" s="3203"/>
      <c r="K63" s="3203"/>
      <c r="L63" s="2268"/>
      <c r="M63" s="2268"/>
      <c r="N63" s="2268"/>
      <c r="O63" s="2268"/>
      <c r="P63" s="2268"/>
      <c r="Q63" s="2449"/>
    </row>
    <row r="64" spans="2:29" ht="7.5" customHeight="1" thickBot="1">
      <c r="B64" s="2267"/>
      <c r="C64" s="2268"/>
      <c r="D64" s="2268"/>
      <c r="E64" s="2268"/>
      <c r="F64" s="2268"/>
      <c r="G64" s="2268"/>
      <c r="H64" s="2268"/>
      <c r="I64" s="2268"/>
      <c r="J64" s="2260"/>
      <c r="K64" s="2268"/>
      <c r="L64" s="2268"/>
      <c r="M64" s="2268"/>
      <c r="N64" s="2268"/>
      <c r="O64" s="2268"/>
      <c r="P64" s="2268"/>
      <c r="Q64" s="2449"/>
    </row>
    <row r="65" spans="2:21" ht="14.25" thickBot="1">
      <c r="B65" s="2267"/>
      <c r="C65" s="2268"/>
      <c r="D65" s="2268"/>
      <c r="E65" s="2268" t="s">
        <v>2558</v>
      </c>
      <c r="F65" s="2262" t="s">
        <v>3225</v>
      </c>
      <c r="G65" s="2268"/>
      <c r="H65" s="2268"/>
      <c r="I65" s="2268"/>
      <c r="J65" s="2260" t="s">
        <v>2559</v>
      </c>
      <c r="K65" s="2262" t="s">
        <v>3225</v>
      </c>
      <c r="L65" s="2268"/>
      <c r="M65" s="2268"/>
      <c r="N65" s="2268"/>
      <c r="O65" s="2268"/>
      <c r="P65" s="2268"/>
      <c r="Q65" s="2449"/>
      <c r="T65" t="s">
        <v>2552</v>
      </c>
      <c r="U65" t="s">
        <v>2550</v>
      </c>
    </row>
    <row r="66" spans="2:21">
      <c r="B66" s="2267"/>
      <c r="C66" s="2268"/>
      <c r="D66" s="2268"/>
      <c r="E66" s="2268"/>
      <c r="F66" s="2268" t="s">
        <v>3212</v>
      </c>
      <c r="G66" s="2268"/>
      <c r="H66" s="2268"/>
      <c r="I66" s="2268"/>
      <c r="J66" s="2260"/>
      <c r="K66" s="2268" t="s">
        <v>3216</v>
      </c>
      <c r="L66" s="2268"/>
      <c r="M66" s="2268"/>
      <c r="N66" s="2268"/>
      <c r="O66" s="2268"/>
      <c r="P66" s="2268"/>
      <c r="Q66" s="2449"/>
      <c r="T66" t="s">
        <v>2554</v>
      </c>
      <c r="U66" t="s">
        <v>2553</v>
      </c>
    </row>
    <row r="67" spans="2:21">
      <c r="B67" s="2267"/>
      <c r="C67" s="2268"/>
      <c r="D67" s="2268"/>
      <c r="E67" s="2268"/>
      <c r="F67" s="2268" t="s">
        <v>3213</v>
      </c>
      <c r="G67" s="2268"/>
      <c r="H67" s="2268"/>
      <c r="I67" s="2268"/>
      <c r="J67" s="2260"/>
      <c r="K67" s="2268" t="s">
        <v>3217</v>
      </c>
      <c r="L67" s="2268"/>
      <c r="M67" s="2268"/>
      <c r="N67" s="2268"/>
      <c r="O67" s="2268"/>
      <c r="P67" s="2268"/>
      <c r="Q67" s="2449"/>
      <c r="T67" t="s">
        <v>2555</v>
      </c>
      <c r="U67" t="s">
        <v>2565</v>
      </c>
    </row>
    <row r="68" spans="2:21">
      <c r="B68" s="2267"/>
      <c r="C68" s="2268"/>
      <c r="D68" s="2268"/>
      <c r="E68" s="2268"/>
      <c r="F68" s="2268" t="s">
        <v>3214</v>
      </c>
      <c r="G68" s="2268"/>
      <c r="H68" s="2268"/>
      <c r="I68" s="2268"/>
      <c r="J68" s="2260"/>
      <c r="K68" s="2268" t="s">
        <v>3215</v>
      </c>
      <c r="L68" s="2268"/>
      <c r="M68" s="2268"/>
      <c r="N68" s="2268"/>
      <c r="O68" s="2268"/>
      <c r="P68" s="2268"/>
      <c r="Q68" s="2449"/>
      <c r="T68" t="s">
        <v>2565</v>
      </c>
    </row>
    <row r="69" spans="2:21" ht="14.25" thickBot="1">
      <c r="B69" s="2458"/>
      <c r="C69" s="2459"/>
      <c r="D69" s="2459"/>
      <c r="E69" s="2459"/>
      <c r="F69" s="2459" t="s">
        <v>3215</v>
      </c>
      <c r="G69" s="2459"/>
      <c r="H69" s="2459"/>
      <c r="I69" s="2459"/>
      <c r="J69" s="2461"/>
      <c r="K69" s="2459"/>
      <c r="L69" s="2459"/>
      <c r="M69" s="2459"/>
      <c r="N69" s="2459"/>
      <c r="O69" s="2459"/>
      <c r="P69" s="2459"/>
      <c r="Q69" s="2460"/>
    </row>
    <row r="70" spans="2:21" ht="14.25" thickBot="1">
      <c r="B70" s="946"/>
      <c r="C70" s="946"/>
      <c r="D70" s="946"/>
      <c r="E70" s="946"/>
      <c r="F70" s="946"/>
      <c r="G70" s="946"/>
      <c r="H70" s="946"/>
      <c r="I70" s="946"/>
      <c r="J70" s="946"/>
      <c r="K70" s="946"/>
      <c r="L70" s="946"/>
      <c r="M70" s="946"/>
      <c r="N70" s="946"/>
      <c r="O70" s="946"/>
      <c r="P70" s="946"/>
      <c r="Q70" s="946"/>
    </row>
    <row r="71" spans="2:21" ht="27" customHeight="1">
      <c r="B71" s="2462"/>
      <c r="C71" s="2463" t="s">
        <v>2376</v>
      </c>
      <c r="D71" s="2464"/>
      <c r="E71" s="2464"/>
      <c r="F71" s="2464"/>
      <c r="G71" s="2464"/>
      <c r="H71" s="2464"/>
      <c r="I71" s="2464"/>
      <c r="J71" s="2464"/>
      <c r="K71" s="2464"/>
      <c r="L71" s="2464"/>
      <c r="M71" s="2464"/>
      <c r="N71" s="2465"/>
      <c r="O71" s="2466"/>
      <c r="P71" s="2466"/>
      <c r="Q71" s="2467"/>
    </row>
    <row r="72" spans="2:21">
      <c r="B72" s="2271"/>
      <c r="C72" s="969"/>
      <c r="D72" s="969" t="s">
        <v>2375</v>
      </c>
      <c r="E72" s="2268"/>
      <c r="F72" s="2268"/>
      <c r="G72" s="2260"/>
      <c r="H72" s="2268"/>
      <c r="I72" s="2268"/>
      <c r="J72" s="2268"/>
      <c r="K72" s="2268"/>
      <c r="L72" s="2268"/>
      <c r="M72" s="2268"/>
      <c r="N72" s="2268" t="s">
        <v>2616</v>
      </c>
      <c r="O72" s="2268"/>
      <c r="P72" s="2268"/>
      <c r="Q72" s="2428" t="s">
        <v>2617</v>
      </c>
    </row>
    <row r="73" spans="2:21">
      <c r="B73" s="2271"/>
      <c r="C73" s="969"/>
      <c r="D73" s="969"/>
      <c r="E73" s="2268"/>
      <c r="F73" s="2272" t="s">
        <v>2227</v>
      </c>
      <c r="G73" s="2268"/>
      <c r="H73" s="2268"/>
      <c r="I73" s="2268"/>
      <c r="J73" s="2268" t="s">
        <v>728</v>
      </c>
      <c r="K73" s="2268"/>
      <c r="L73" s="2270" t="s">
        <v>137</v>
      </c>
      <c r="M73" s="2268"/>
      <c r="N73" s="966" t="s">
        <v>726</v>
      </c>
      <c r="O73" s="974"/>
      <c r="P73" s="974"/>
      <c r="Q73" s="968" t="s">
        <v>726</v>
      </c>
    </row>
    <row r="74" spans="2:21">
      <c r="B74" s="2271"/>
      <c r="C74" s="969"/>
      <c r="D74" s="969"/>
      <c r="E74" s="2260" t="s">
        <v>720</v>
      </c>
      <c r="F74" s="2274">
        <f>IF(E24=S27,I45,I26)</f>
        <v>0.9</v>
      </c>
      <c r="G74" s="2273"/>
      <c r="H74" s="2268"/>
      <c r="I74" s="2268"/>
      <c r="J74" s="2275">
        <f>(H98*N98+H100*N100+N101*H101)/1000</f>
        <v>0</v>
      </c>
      <c r="K74" s="2276" t="s">
        <v>726</v>
      </c>
      <c r="L74" s="2429">
        <f>N104</f>
        <v>1</v>
      </c>
      <c r="M74" s="2276"/>
      <c r="N74" s="2430">
        <f>(J94*F74-J74)*L74</f>
        <v>4158</v>
      </c>
      <c r="O74" s="974"/>
      <c r="P74" s="981"/>
      <c r="Q74" s="2277">
        <f>J94</f>
        <v>4620</v>
      </c>
      <c r="T74" s="2503">
        <f>T94/Q74</f>
        <v>0.9</v>
      </c>
    </row>
    <row r="75" spans="2:21">
      <c r="B75" s="2267"/>
      <c r="C75" s="2268"/>
      <c r="D75" s="2268"/>
      <c r="E75" s="2268"/>
      <c r="F75" s="2268"/>
      <c r="G75" s="2268"/>
      <c r="H75" s="2268"/>
      <c r="I75" s="2268"/>
      <c r="J75" s="2268"/>
      <c r="K75" s="2268"/>
      <c r="L75" s="2268"/>
      <c r="M75" s="2268"/>
      <c r="N75" s="2268"/>
      <c r="O75" s="2268"/>
      <c r="P75" s="2268"/>
      <c r="Q75" s="2449"/>
    </row>
    <row r="76" spans="2:21">
      <c r="B76" s="2267"/>
      <c r="C76" s="2268"/>
      <c r="D76" s="2268"/>
      <c r="E76" s="2268"/>
      <c r="F76" s="2268"/>
      <c r="G76" s="2270"/>
      <c r="H76" s="2270" t="s">
        <v>736</v>
      </c>
      <c r="I76" s="2268"/>
      <c r="J76" s="2270" t="s">
        <v>735</v>
      </c>
      <c r="K76" s="2270"/>
      <c r="L76" s="2270" t="s">
        <v>2763</v>
      </c>
      <c r="M76" s="2268"/>
      <c r="N76" s="2268"/>
      <c r="O76" s="2268"/>
      <c r="P76" s="2268"/>
      <c r="Q76" s="2449"/>
    </row>
    <row r="77" spans="2:21">
      <c r="B77" s="2267"/>
      <c r="C77" s="2268"/>
      <c r="D77" s="2268"/>
      <c r="E77" s="2268"/>
      <c r="F77" s="2268"/>
      <c r="G77" s="2272"/>
      <c r="H77" s="2272" t="s">
        <v>2631</v>
      </c>
      <c r="I77" s="2268"/>
      <c r="J77" s="2270" t="s">
        <v>729</v>
      </c>
      <c r="K77" s="2270"/>
      <c r="L77" s="2270" t="s">
        <v>1925</v>
      </c>
      <c r="M77" s="2268"/>
      <c r="N77" s="2268"/>
      <c r="O77" s="2268"/>
      <c r="P77" s="2268"/>
      <c r="Q77" s="2449"/>
      <c r="S77" t="s">
        <v>796</v>
      </c>
    </row>
    <row r="78" spans="2:21">
      <c r="B78" s="2267"/>
      <c r="C78" s="2268"/>
      <c r="D78" s="2268"/>
      <c r="E78" s="2436" t="s">
        <v>1916</v>
      </c>
      <c r="F78" s="2437" t="s">
        <v>512</v>
      </c>
      <c r="G78" s="2438"/>
      <c r="H78" s="2457">
        <f>メイン!R47</f>
        <v>3000</v>
      </c>
      <c r="I78" s="976"/>
      <c r="J78" s="2457">
        <f>CO2データ!H151</f>
        <v>1540</v>
      </c>
      <c r="K78" s="976"/>
      <c r="L78" s="2490">
        <f>CO2データ!R151</f>
        <v>5.3311967213114757E-2</v>
      </c>
      <c r="M78" s="2268"/>
      <c r="N78" s="2268"/>
      <c r="O78" s="2268"/>
      <c r="P78" s="2268"/>
      <c r="Q78" s="2449"/>
      <c r="S78" s="2501">
        <f>CO2データ!N151</f>
        <v>0.9</v>
      </c>
    </row>
    <row r="79" spans="2:21">
      <c r="B79" s="2267"/>
      <c r="C79" s="2268"/>
      <c r="D79" s="2268"/>
      <c r="E79" s="2439"/>
      <c r="F79" s="2437" t="s">
        <v>2522</v>
      </c>
      <c r="G79" s="2438"/>
      <c r="H79" s="2457">
        <f>メイン!R48</f>
        <v>0</v>
      </c>
      <c r="I79" s="976"/>
      <c r="J79" s="2457">
        <f>CO2データ!H152</f>
        <v>0</v>
      </c>
      <c r="K79" s="976"/>
      <c r="L79" s="2490">
        <f>CO2データ!R152</f>
        <v>5.384714754098361E-2</v>
      </c>
      <c r="M79" s="2268"/>
      <c r="N79" s="2268"/>
      <c r="O79" s="2268"/>
      <c r="P79" s="2268"/>
      <c r="Q79" s="2449"/>
      <c r="S79" s="2501">
        <f>CO2データ!N152</f>
        <v>0.83</v>
      </c>
    </row>
    <row r="80" spans="2:21">
      <c r="B80" s="2267"/>
      <c r="C80" s="2268"/>
      <c r="D80" s="2268"/>
      <c r="E80" s="2440" t="s">
        <v>2526</v>
      </c>
      <c r="F80" s="2437" t="s">
        <v>2527</v>
      </c>
      <c r="G80" s="2438"/>
      <c r="H80" s="2457">
        <f>メイン!R49</f>
        <v>0</v>
      </c>
      <c r="I80" s="976"/>
      <c r="J80" s="2457">
        <f>CO2データ!H153</f>
        <v>0</v>
      </c>
      <c r="K80" s="976"/>
      <c r="L80" s="2490">
        <f>CO2データ!R153</f>
        <v>5.4416385245901644E-2</v>
      </c>
      <c r="M80" s="2268"/>
      <c r="N80" s="2268"/>
      <c r="O80" s="2268"/>
      <c r="P80" s="2268"/>
      <c r="Q80" s="2449"/>
      <c r="S80" s="2501">
        <f>CO2データ!N153</f>
        <v>0.71</v>
      </c>
    </row>
    <row r="81" spans="2:27">
      <c r="B81" s="2267"/>
      <c r="C81" s="2268"/>
      <c r="D81" s="2268"/>
      <c r="E81" s="2440"/>
      <c r="F81" s="2441" t="s">
        <v>2528</v>
      </c>
      <c r="G81" s="2442" t="s">
        <v>2529</v>
      </c>
      <c r="H81" s="2457">
        <f>メイン!R50</f>
        <v>0</v>
      </c>
      <c r="I81" s="976"/>
      <c r="J81" s="2457">
        <f>CO2データ!H154</f>
        <v>0</v>
      </c>
      <c r="K81" s="976"/>
      <c r="L81" s="2490">
        <f>CO2データ!R154</f>
        <v>5.5646466782883618E-2</v>
      </c>
      <c r="M81" s="2268"/>
      <c r="N81" s="2268"/>
      <c r="O81" s="2268"/>
      <c r="P81" s="2268"/>
      <c r="Q81" s="2449"/>
      <c r="S81" s="2501">
        <f>CO2データ!N154</f>
        <v>0.62299911901772109</v>
      </c>
    </row>
    <row r="82" spans="2:27">
      <c r="B82" s="2267"/>
      <c r="C82" s="2268"/>
      <c r="D82" s="2268"/>
      <c r="E82" s="2440"/>
      <c r="F82" s="2443"/>
      <c r="G82" s="2442" t="s">
        <v>2961</v>
      </c>
      <c r="H82" s="2457">
        <f>メイン!R51</f>
        <v>0</v>
      </c>
      <c r="I82" s="976"/>
      <c r="J82" s="2457">
        <f>CO2データ!H155</f>
        <v>0</v>
      </c>
      <c r="K82" s="976"/>
      <c r="L82" s="2490">
        <f>CO2データ!R155</f>
        <v>5.4091025903963814E-2</v>
      </c>
      <c r="M82" s="2268"/>
      <c r="N82" s="2268"/>
      <c r="O82" s="2268"/>
      <c r="P82" s="2268"/>
      <c r="Q82" s="2449"/>
      <c r="S82" s="2501">
        <f>CO2データ!N155</f>
        <v>0.75998792472086629</v>
      </c>
    </row>
    <row r="83" spans="2:27">
      <c r="B83" s="2267"/>
      <c r="C83" s="2268"/>
      <c r="D83" s="2268"/>
      <c r="E83" s="2440"/>
      <c r="F83" s="2437" t="s">
        <v>2530</v>
      </c>
      <c r="G83" s="2438"/>
      <c r="H83" s="2457">
        <f>メイン!R52</f>
        <v>0</v>
      </c>
      <c r="I83" s="976"/>
      <c r="J83" s="2457">
        <f>CO2データ!H156</f>
        <v>0</v>
      </c>
      <c r="K83" s="976"/>
      <c r="L83" s="2490">
        <f>CO2データ!R156</f>
        <v>5.5633450819672137E-2</v>
      </c>
      <c r="M83" s="2268"/>
      <c r="N83" s="2268"/>
      <c r="O83" s="2268"/>
      <c r="P83" s="2268"/>
      <c r="Q83" s="2449"/>
      <c r="S83" s="2501">
        <f>CO2データ!N156</f>
        <v>0.74</v>
      </c>
    </row>
    <row r="84" spans="2:27">
      <c r="B84" s="2267"/>
      <c r="C84" s="2268"/>
      <c r="D84" s="2268"/>
      <c r="E84" s="2439"/>
      <c r="F84" s="2437" t="s">
        <v>2531</v>
      </c>
      <c r="G84" s="2438"/>
      <c r="H84" s="2457">
        <f>メイン!R53</f>
        <v>0</v>
      </c>
      <c r="I84" s="976"/>
      <c r="J84" s="2457">
        <f>CO2データ!H157</f>
        <v>0</v>
      </c>
      <c r="K84" s="976"/>
      <c r="L84" s="2490">
        <f>CO2データ!R157</f>
        <v>5.3911893442622955E-2</v>
      </c>
      <c r="M84" s="2268"/>
      <c r="N84" s="2268"/>
      <c r="O84" s="2268"/>
      <c r="P84" s="2268"/>
      <c r="Q84" s="2449"/>
      <c r="S84" s="2501">
        <f>CO2データ!N157</f>
        <v>0.79</v>
      </c>
    </row>
    <row r="85" spans="2:27">
      <c r="B85" s="2267"/>
      <c r="C85" s="2268"/>
      <c r="D85" s="2268"/>
      <c r="E85" s="2436" t="s">
        <v>2523</v>
      </c>
      <c r="F85" s="2437" t="s">
        <v>2127</v>
      </c>
      <c r="G85" s="2438"/>
      <c r="H85" s="2457">
        <f>メイン!R54</f>
        <v>0</v>
      </c>
      <c r="I85" s="976"/>
      <c r="J85" s="2457">
        <f>CO2データ!H158</f>
        <v>0</v>
      </c>
      <c r="K85" s="976"/>
      <c r="L85" s="2490">
        <f>CO2データ!R158</f>
        <v>5.3404032786885255E-2</v>
      </c>
      <c r="M85" s="2268"/>
      <c r="N85" s="2268"/>
      <c r="O85" s="2268"/>
      <c r="P85" s="2268"/>
      <c r="Q85" s="2449"/>
      <c r="S85" s="2501">
        <f>CO2データ!N158</f>
        <v>0.93</v>
      </c>
    </row>
    <row r="86" spans="2:27">
      <c r="B86" s="2267"/>
      <c r="C86" s="2268"/>
      <c r="D86" s="2268"/>
      <c r="E86" s="2439"/>
      <c r="F86" s="2437" t="s">
        <v>2524</v>
      </c>
      <c r="G86" s="2438"/>
      <c r="H86" s="2457">
        <f>メイン!R55</f>
        <v>0</v>
      </c>
      <c r="I86" s="976"/>
      <c r="J86" s="2457">
        <f>CO2データ!H159</f>
        <v>0</v>
      </c>
      <c r="K86" s="976"/>
      <c r="L86" s="2490">
        <f>CO2データ!R159</f>
        <v>5.3373344262295085E-2</v>
      </c>
      <c r="M86" s="2268"/>
      <c r="N86" s="2268"/>
      <c r="O86" s="2268"/>
      <c r="P86" s="2268"/>
      <c r="Q86" s="2449"/>
      <c r="S86" s="2501">
        <f>CO2データ!N159</f>
        <v>0.92</v>
      </c>
    </row>
    <row r="87" spans="2:27">
      <c r="B87" s="2267"/>
      <c r="C87" s="2268"/>
      <c r="D87" s="2268"/>
      <c r="E87" s="2437" t="s">
        <v>518</v>
      </c>
      <c r="F87" s="2444"/>
      <c r="G87" s="2438"/>
      <c r="H87" s="2457">
        <f>メイン!R56</f>
        <v>0</v>
      </c>
      <c r="I87" s="976"/>
      <c r="J87" s="2457">
        <f>CO2データ!H160</f>
        <v>0</v>
      </c>
      <c r="K87" s="976"/>
      <c r="L87" s="2490">
        <f>CO2データ!R160</f>
        <v>5.3584426229508195E-2</v>
      </c>
      <c r="M87" s="2268"/>
      <c r="N87" s="2268"/>
      <c r="O87" s="2268"/>
      <c r="P87" s="2268"/>
      <c r="Q87" s="2449"/>
      <c r="S87" s="2501">
        <f>CO2データ!N160</f>
        <v>0.5</v>
      </c>
    </row>
    <row r="88" spans="2:27">
      <c r="B88" s="2267"/>
      <c r="C88" s="2268"/>
      <c r="D88" s="2268"/>
      <c r="E88" s="2436" t="s">
        <v>2532</v>
      </c>
      <c r="F88" s="2437" t="s">
        <v>2533</v>
      </c>
      <c r="G88" s="2438"/>
      <c r="H88" s="2457">
        <f>メイン!R57</f>
        <v>0</v>
      </c>
      <c r="I88" s="976"/>
      <c r="J88" s="2457">
        <f>CO2データ!H161</f>
        <v>0</v>
      </c>
      <c r="K88" s="976"/>
      <c r="L88" s="2490">
        <f>CO2データ!R161</f>
        <v>5.363232786885247E-2</v>
      </c>
      <c r="M88" s="2268"/>
      <c r="N88" s="2268"/>
      <c r="O88" s="2268"/>
      <c r="P88" s="2268"/>
      <c r="Q88" s="2449"/>
      <c r="S88" s="2501">
        <f>CO2データ!N161</f>
        <v>0.76</v>
      </c>
    </row>
    <row r="89" spans="2:27">
      <c r="B89" s="2267"/>
      <c r="C89" s="2268"/>
      <c r="D89" s="2268"/>
      <c r="E89" s="2440"/>
      <c r="F89" s="2437" t="s">
        <v>2534</v>
      </c>
      <c r="G89" s="2438"/>
      <c r="H89" s="2457">
        <f>メイン!R58</f>
        <v>0</v>
      </c>
      <c r="I89" s="976"/>
      <c r="J89" s="2457">
        <f>CO2データ!H162</f>
        <v>0</v>
      </c>
      <c r="K89" s="976"/>
      <c r="L89" s="2490">
        <f>CO2データ!R162</f>
        <v>5.4160770491803276E-2</v>
      </c>
      <c r="M89" s="2268"/>
      <c r="N89" s="2268"/>
      <c r="O89" s="2268"/>
      <c r="P89" s="2268"/>
      <c r="Q89" s="2449"/>
      <c r="S89" s="2501">
        <f>CO2データ!N162</f>
        <v>0.81</v>
      </c>
    </row>
    <row r="90" spans="2:27">
      <c r="B90" s="2267"/>
      <c r="C90" s="2268"/>
      <c r="D90" s="2268"/>
      <c r="E90" s="2440"/>
      <c r="F90" s="2441" t="s">
        <v>2535</v>
      </c>
      <c r="G90" s="2445"/>
      <c r="H90" s="2457">
        <f>メイン!R59</f>
        <v>0</v>
      </c>
      <c r="I90" s="976"/>
      <c r="J90" s="2457">
        <f>CO2データ!H163</f>
        <v>0</v>
      </c>
      <c r="K90" s="976"/>
      <c r="L90" s="2490">
        <f>CO2データ!R163</f>
        <v>5.2998344262295077E-2</v>
      </c>
      <c r="M90" s="2268"/>
      <c r="N90" s="2268"/>
      <c r="O90" s="2268"/>
      <c r="P90" s="2268"/>
      <c r="Q90" s="2449"/>
      <c r="S90" s="2501">
        <f>CO2データ!N163</f>
        <v>0.92</v>
      </c>
    </row>
    <row r="91" spans="2:27">
      <c r="B91" s="2267"/>
      <c r="C91" s="2268"/>
      <c r="D91" s="2268"/>
      <c r="E91" s="2437" t="s">
        <v>528</v>
      </c>
      <c r="F91" s="2444"/>
      <c r="G91" s="2438"/>
      <c r="H91" s="2457">
        <f>メイン!R60</f>
        <v>0</v>
      </c>
      <c r="I91" s="976"/>
      <c r="J91" s="2457">
        <f>CO2データ!H164</f>
        <v>0</v>
      </c>
      <c r="K91" s="976"/>
      <c r="L91" s="2490">
        <f>CO2データ!R164</f>
        <v>5.2868852459016395E-2</v>
      </c>
      <c r="M91" s="2268"/>
      <c r="N91" s="2268"/>
      <c r="O91" s="2268"/>
      <c r="P91" s="2268"/>
      <c r="Q91" s="2449"/>
      <c r="S91" s="2501">
        <f>CO2データ!N164</f>
        <v>1</v>
      </c>
    </row>
    <row r="92" spans="2:27">
      <c r="B92" s="2267"/>
      <c r="C92" s="2268"/>
      <c r="D92" s="2268"/>
      <c r="E92" s="2437" t="s">
        <v>522</v>
      </c>
      <c r="F92" s="2444"/>
      <c r="G92" s="2438"/>
      <c r="H92" s="2457">
        <f>メイン!R61</f>
        <v>0</v>
      </c>
      <c r="I92" s="976"/>
      <c r="J92" s="2457">
        <f>CO2データ!H165</f>
        <v>0</v>
      </c>
      <c r="K92" s="976"/>
      <c r="L92" s="2490">
        <f>CO2データ!R165</f>
        <v>5.5544754098360655E-2</v>
      </c>
      <c r="M92" s="2268"/>
      <c r="N92" s="2268"/>
      <c r="O92" s="2268"/>
      <c r="P92" s="2268"/>
      <c r="Q92" s="2449"/>
      <c r="S92" s="2501">
        <f>CO2データ!N165</f>
        <v>0.65</v>
      </c>
    </row>
    <row r="93" spans="2:27" ht="14.25" thickBot="1">
      <c r="B93" s="2267"/>
      <c r="C93" s="2268"/>
      <c r="D93" s="2268"/>
      <c r="E93" s="2437" t="s">
        <v>2525</v>
      </c>
      <c r="F93" s="2444"/>
      <c r="G93" s="2438"/>
      <c r="H93" s="2457">
        <f>メイン!R62</f>
        <v>0</v>
      </c>
      <c r="I93" s="976"/>
      <c r="J93" s="2457">
        <f>CO2データ!H166</f>
        <v>0</v>
      </c>
      <c r="K93" s="976"/>
      <c r="L93" s="2491">
        <f>CO2データ!R166</f>
        <v>5.4600516393442627E-2</v>
      </c>
      <c r="M93" s="2268"/>
      <c r="N93" s="2268"/>
      <c r="O93" s="2268"/>
      <c r="P93" s="2268"/>
      <c r="Q93" s="2449"/>
      <c r="S93" s="2501">
        <f>CO2データ!N166</f>
        <v>0.77</v>
      </c>
    </row>
    <row r="94" spans="2:27" ht="14.25" thickBot="1">
      <c r="B94" s="2267"/>
      <c r="C94" s="2268"/>
      <c r="D94" s="2268"/>
      <c r="E94" s="2448" t="s">
        <v>136</v>
      </c>
      <c r="F94" s="2448" t="s">
        <v>530</v>
      </c>
      <c r="G94" s="2448"/>
      <c r="H94" s="2479">
        <f>SUM(H78:H93)</f>
        <v>3000</v>
      </c>
      <c r="I94" s="976"/>
      <c r="J94" s="2479">
        <f>SUMPRODUCT(H78:H93,J78:J93)/1000</f>
        <v>4620</v>
      </c>
      <c r="K94" s="976" t="s">
        <v>138</v>
      </c>
      <c r="L94" s="2492">
        <f>SUMPRODUCT(H78:H93,L78:L93)/H94</f>
        <v>5.3311967213114757E-2</v>
      </c>
      <c r="M94" s="2268"/>
      <c r="N94" s="2268"/>
      <c r="O94" s="2268"/>
      <c r="P94" s="2268"/>
      <c r="Q94" s="2449"/>
      <c r="S94" s="2501"/>
      <c r="T94" s="2502">
        <f>SUMPRODUCT(H78:H93,J78:J93,S78:S93)/1000</f>
        <v>4158</v>
      </c>
    </row>
    <row r="95" spans="2:27">
      <c r="B95" s="2267"/>
      <c r="C95" s="2268"/>
      <c r="D95" s="2268"/>
      <c r="E95" s="976"/>
      <c r="F95" s="976"/>
      <c r="G95" s="976"/>
      <c r="H95" s="976"/>
      <c r="I95" s="976"/>
      <c r="J95" s="976"/>
      <c r="K95" s="976"/>
      <c r="L95" s="976"/>
      <c r="M95" s="2268"/>
      <c r="N95" s="2268"/>
      <c r="O95" s="2268"/>
      <c r="P95" s="2268"/>
      <c r="Q95" s="2449"/>
    </row>
    <row r="96" spans="2:27">
      <c r="B96" s="2267"/>
      <c r="C96" s="2268"/>
      <c r="D96" s="2268"/>
      <c r="E96" s="977" t="s">
        <v>2373</v>
      </c>
      <c r="F96" s="2273"/>
      <c r="G96" s="2268"/>
      <c r="H96" s="2270" t="s">
        <v>736</v>
      </c>
      <c r="I96" s="2268"/>
      <c r="J96" s="2268"/>
      <c r="K96" s="2268"/>
      <c r="L96" s="2268"/>
      <c r="M96" s="2268"/>
      <c r="N96" s="2268"/>
      <c r="O96" s="2268"/>
      <c r="P96" s="2268"/>
      <c r="Q96" s="2449"/>
      <c r="V96" s="1"/>
      <c r="W96" s="1"/>
      <c r="Z96" s="1"/>
      <c r="AA96" s="1"/>
    </row>
    <row r="97" spans="2:27" hidden="1">
      <c r="B97" s="2267"/>
      <c r="C97" s="2268"/>
      <c r="D97" s="2268"/>
      <c r="E97" s="977"/>
      <c r="F97" s="2273"/>
      <c r="G97" s="2268"/>
      <c r="H97" s="2268"/>
      <c r="I97" s="2268"/>
      <c r="J97" s="2268"/>
      <c r="K97" s="2268"/>
      <c r="L97" s="2268"/>
      <c r="M97" s="2268"/>
      <c r="N97" s="2268"/>
      <c r="O97" s="2268"/>
      <c r="P97" s="2268"/>
      <c r="Q97" s="2449"/>
      <c r="S97" t="s">
        <v>1633</v>
      </c>
      <c r="T97" s="2512">
        <v>1</v>
      </c>
      <c r="V97" s="1526"/>
      <c r="W97" s="1526"/>
      <c r="Z97" s="1526"/>
      <c r="AA97" s="1526"/>
    </row>
    <row r="98" spans="2:27" ht="14.25" hidden="1" thickBot="1">
      <c r="B98" s="2267"/>
      <c r="C98" s="2268"/>
      <c r="D98" s="2268"/>
      <c r="E98" s="977"/>
      <c r="F98" s="977" t="s">
        <v>2233</v>
      </c>
      <c r="G98" s="2273"/>
      <c r="H98" s="2278">
        <f>IF(T97=1,0,H94-H81-H82)</f>
        <v>0</v>
      </c>
      <c r="I98" s="2268"/>
      <c r="J98" s="2268"/>
      <c r="K98" s="2268"/>
      <c r="L98" s="2268"/>
      <c r="M98" s="2268"/>
      <c r="N98" s="2494">
        <f>採点LR1!I44</f>
        <v>0</v>
      </c>
      <c r="O98" s="2268" t="s">
        <v>2234</v>
      </c>
      <c r="P98" s="2268"/>
      <c r="Q98" s="2449"/>
      <c r="S98" s="2501"/>
      <c r="V98" s="1526"/>
      <c r="W98" s="1526"/>
      <c r="Z98" s="1526"/>
      <c r="AA98" s="1526"/>
    </row>
    <row r="99" spans="2:27">
      <c r="B99" s="2279"/>
      <c r="C99" s="969"/>
      <c r="D99" s="969"/>
      <c r="E99" s="977"/>
      <c r="F99" s="977" t="s">
        <v>3237</v>
      </c>
      <c r="G99" s="2273"/>
      <c r="H99" s="2272" t="s">
        <v>2631</v>
      </c>
      <c r="I99" s="2272"/>
      <c r="J99" s="971" t="s">
        <v>1764</v>
      </c>
      <c r="K99" s="971" t="s">
        <v>1765</v>
      </c>
      <c r="L99" s="971" t="s">
        <v>1766</v>
      </c>
      <c r="M99" s="972" t="s">
        <v>355</v>
      </c>
      <c r="N99" s="972" t="s">
        <v>2274</v>
      </c>
      <c r="O99" s="2281"/>
      <c r="P99" s="981"/>
      <c r="Q99" s="2282"/>
    </row>
    <row r="100" spans="2:27">
      <c r="B100" s="2279"/>
      <c r="C100" s="969"/>
      <c r="D100" s="969"/>
      <c r="E100" s="977"/>
      <c r="F100" s="977"/>
      <c r="G100" s="2272" t="s">
        <v>2235</v>
      </c>
      <c r="H100" s="2480">
        <f>H81+H82+M14</f>
        <v>0</v>
      </c>
      <c r="I100" s="2272"/>
      <c r="J100" s="2485">
        <v>0</v>
      </c>
      <c r="K100" s="2485">
        <v>1</v>
      </c>
      <c r="L100" s="2485">
        <v>15</v>
      </c>
      <c r="M100" s="2285">
        <f>採点LR1!K47</f>
        <v>3</v>
      </c>
      <c r="N100" s="2484">
        <f>IF(M100&gt;=5,$L100,IF(M100&gt;=4,$K100,$J100))</f>
        <v>0</v>
      </c>
      <c r="O100" s="2268"/>
      <c r="P100" s="981"/>
      <c r="Q100" s="2282"/>
    </row>
    <row r="101" spans="2:27">
      <c r="B101" s="2279"/>
      <c r="C101" s="969"/>
      <c r="D101" s="969"/>
      <c r="E101" s="977"/>
      <c r="F101" s="977"/>
      <c r="G101" s="2273" t="s">
        <v>2236</v>
      </c>
      <c r="H101" s="2278">
        <f>IF(T97=1,H94-H81-H82,0)</f>
        <v>3000</v>
      </c>
      <c r="I101" s="2272"/>
      <c r="J101" s="2485">
        <v>0</v>
      </c>
      <c r="K101" s="2485">
        <v>1</v>
      </c>
      <c r="L101" s="2485">
        <f>採点LR1!I54</f>
        <v>0</v>
      </c>
      <c r="M101" s="2285">
        <f>採点LR1!G47</f>
        <v>3</v>
      </c>
      <c r="N101" s="2484">
        <f>IF(M101&gt;=5,$L101,IF(M101&gt;=4,$K101,$J101))</f>
        <v>0</v>
      </c>
      <c r="O101" s="2268" t="s">
        <v>3125</v>
      </c>
      <c r="P101" s="981"/>
      <c r="Q101" s="2282"/>
    </row>
    <row r="102" spans="2:27">
      <c r="B102" s="2279"/>
      <c r="C102" s="969"/>
      <c r="D102" s="969"/>
      <c r="E102" s="2287"/>
      <c r="F102" s="2287"/>
      <c r="G102" s="2280"/>
      <c r="H102" s="2273"/>
      <c r="I102" s="2273"/>
      <c r="J102" s="2273"/>
      <c r="K102" s="2273"/>
      <c r="L102" s="2273"/>
      <c r="M102" s="2273"/>
      <c r="N102" s="2273"/>
      <c r="O102" s="2281"/>
      <c r="P102" s="981"/>
      <c r="Q102" s="2282"/>
    </row>
    <row r="103" spans="2:27">
      <c r="B103" s="2271"/>
      <c r="C103" s="969"/>
      <c r="D103" s="969"/>
      <c r="E103" s="977" t="s">
        <v>411</v>
      </c>
      <c r="F103" s="2287"/>
      <c r="G103" s="2268"/>
      <c r="H103" s="2481"/>
      <c r="I103" s="2268"/>
      <c r="J103" s="971" t="s">
        <v>1764</v>
      </c>
      <c r="K103" s="971" t="s">
        <v>1765</v>
      </c>
      <c r="L103" s="971" t="s">
        <v>1766</v>
      </c>
      <c r="M103" s="972" t="s">
        <v>355</v>
      </c>
      <c r="N103" s="972" t="s">
        <v>730</v>
      </c>
      <c r="O103" s="974"/>
      <c r="P103" s="981"/>
      <c r="Q103" s="2282"/>
    </row>
    <row r="104" spans="2:27">
      <c r="B104" s="2271"/>
      <c r="C104" s="969"/>
      <c r="D104" s="969"/>
      <c r="E104" s="977"/>
      <c r="F104" s="977" t="s">
        <v>731</v>
      </c>
      <c r="G104" s="2268"/>
      <c r="H104" s="2268"/>
      <c r="I104" s="2268"/>
      <c r="J104" s="2283">
        <v>1</v>
      </c>
      <c r="K104" s="2284">
        <v>0.97499999999999998</v>
      </c>
      <c r="L104" s="2283">
        <v>0.95</v>
      </c>
      <c r="M104" s="2285">
        <f>スコア!M134</f>
        <v>3</v>
      </c>
      <c r="N104" s="2286">
        <f>IF(M104&gt;=5,$L104,IF(M104&gt;=4,$K104,$J104))</f>
        <v>1</v>
      </c>
      <c r="O104" s="974"/>
      <c r="P104" s="981"/>
      <c r="Q104" s="2282"/>
    </row>
    <row r="105" spans="2:27">
      <c r="B105" s="2271"/>
      <c r="C105" s="969"/>
      <c r="D105" s="2268"/>
      <c r="E105" s="2268"/>
      <c r="F105" s="2268"/>
      <c r="G105" s="2268"/>
      <c r="H105" s="2268"/>
      <c r="I105" s="2268"/>
      <c r="J105" s="2268"/>
      <c r="K105" s="2268"/>
      <c r="L105" s="2268"/>
      <c r="M105" s="2268"/>
      <c r="N105" s="966"/>
      <c r="O105" s="974"/>
      <c r="P105" s="974"/>
      <c r="Q105" s="968"/>
    </row>
    <row r="106" spans="2:27">
      <c r="B106" s="2271"/>
      <c r="C106" s="969"/>
      <c r="D106" s="2268"/>
      <c r="E106" s="2260" t="s">
        <v>732</v>
      </c>
      <c r="F106" s="2268"/>
      <c r="G106" s="2309"/>
      <c r="H106" s="2268"/>
      <c r="I106" s="2268"/>
      <c r="J106" s="2268"/>
      <c r="K106" s="2268"/>
      <c r="L106" s="2268"/>
      <c r="M106" s="2268"/>
      <c r="N106" s="2268" t="s">
        <v>2616</v>
      </c>
      <c r="O106" s="2268"/>
      <c r="P106" s="2268"/>
      <c r="Q106" s="2428" t="s">
        <v>2617</v>
      </c>
    </row>
    <row r="107" spans="2:27">
      <c r="B107" s="2271"/>
      <c r="C107" s="969"/>
      <c r="D107" s="2268"/>
      <c r="E107" s="2268"/>
      <c r="F107" s="2268"/>
      <c r="G107" s="2309"/>
      <c r="H107" s="2268"/>
      <c r="I107" s="2268"/>
      <c r="J107" s="2268"/>
      <c r="K107" s="2268"/>
      <c r="L107" s="2268"/>
      <c r="M107" s="2268"/>
      <c r="N107" s="966" t="s">
        <v>726</v>
      </c>
      <c r="O107" s="974"/>
      <c r="P107" s="974"/>
      <c r="Q107" s="968" t="s">
        <v>726</v>
      </c>
    </row>
    <row r="108" spans="2:27">
      <c r="B108" s="2271"/>
      <c r="C108" s="969"/>
      <c r="D108" s="2268"/>
      <c r="E108" s="976"/>
      <c r="F108" s="2268" t="s">
        <v>2556</v>
      </c>
      <c r="G108" s="2309"/>
      <c r="H108" s="2268"/>
      <c r="I108" s="2268"/>
      <c r="J108" s="2272" t="s">
        <v>412</v>
      </c>
      <c r="K108" s="2272" t="s">
        <v>2616</v>
      </c>
      <c r="L108" s="2272" t="s">
        <v>2617</v>
      </c>
      <c r="M108" s="2272"/>
      <c r="N108" s="2430">
        <f>IF(N61=T59,IF(N42=0,"-",N42),J110*K110/1000)</f>
        <v>0</v>
      </c>
      <c r="O108" s="2268"/>
      <c r="P108" s="2268"/>
      <c r="Q108" s="2277">
        <f>IF(N61=T59,(N39-N40)*1.1+N40,J110*L110/1000)</f>
        <v>0</v>
      </c>
      <c r="S108" s="2501"/>
    </row>
    <row r="109" spans="2:27">
      <c r="B109" s="2271"/>
      <c r="C109" s="969"/>
      <c r="D109" s="2268"/>
      <c r="E109" s="976"/>
      <c r="F109" s="2268"/>
      <c r="G109" s="2309"/>
      <c r="H109" s="2268"/>
      <c r="I109" s="2268"/>
      <c r="J109" s="2272" t="s">
        <v>2631</v>
      </c>
      <c r="K109" s="2269" t="s">
        <v>3125</v>
      </c>
      <c r="L109" s="2269" t="s">
        <v>3125</v>
      </c>
      <c r="M109" s="2272"/>
      <c r="N109" s="2433"/>
      <c r="O109" s="2268"/>
      <c r="P109" s="2268"/>
      <c r="Q109" s="2434"/>
    </row>
    <row r="110" spans="2:27">
      <c r="B110" s="2271"/>
      <c r="C110" s="969"/>
      <c r="D110" s="2268"/>
      <c r="E110" s="976"/>
      <c r="F110" s="2268"/>
      <c r="G110" s="2273" t="s">
        <v>3236</v>
      </c>
      <c r="H110" s="2268"/>
      <c r="I110" s="2272"/>
      <c r="J110" s="2430">
        <f>N29</f>
        <v>0</v>
      </c>
      <c r="K110" s="2430">
        <f>CO2データ!I196</f>
        <v>1343</v>
      </c>
      <c r="L110" s="2430">
        <f>CO2データ!I197</f>
        <v>1163</v>
      </c>
      <c r="M110" s="2272"/>
      <c r="N110" s="966"/>
      <c r="O110" s="974"/>
      <c r="P110" s="974"/>
      <c r="Q110" s="968"/>
    </row>
    <row r="111" spans="2:27" ht="6.75" customHeight="1">
      <c r="B111" s="2271"/>
      <c r="C111" s="969"/>
      <c r="D111" s="2268"/>
      <c r="E111" s="976"/>
      <c r="F111" s="2268"/>
      <c r="G111" s="2273"/>
      <c r="H111" s="2268"/>
      <c r="I111" s="2272"/>
      <c r="J111" s="2433"/>
      <c r="K111" s="2433"/>
      <c r="L111" s="2433"/>
      <c r="M111" s="2272"/>
      <c r="N111" s="966"/>
      <c r="O111" s="974"/>
      <c r="P111" s="974"/>
      <c r="Q111" s="968"/>
    </row>
    <row r="112" spans="2:27">
      <c r="B112" s="2271"/>
      <c r="C112" s="969"/>
      <c r="D112" s="2268"/>
      <c r="E112" s="2268"/>
      <c r="F112" s="2268" t="s">
        <v>924</v>
      </c>
      <c r="G112" s="2309"/>
      <c r="H112" s="2268"/>
      <c r="I112" s="2268"/>
      <c r="J112" s="2268"/>
      <c r="K112" s="2268"/>
      <c r="L112" s="2270"/>
      <c r="M112" s="2268"/>
      <c r="N112" s="2430" t="str">
        <f>IF(M42=0,"-",M42)</f>
        <v>-</v>
      </c>
      <c r="O112" s="974"/>
      <c r="P112" s="981"/>
      <c r="Q112" s="2277">
        <f>M39</f>
        <v>0</v>
      </c>
      <c r="S112" s="2501"/>
    </row>
    <row r="113" spans="2:17" ht="14.25" thickBot="1">
      <c r="B113" s="2458"/>
      <c r="C113" s="2459"/>
      <c r="D113" s="2459"/>
      <c r="E113" s="2459"/>
      <c r="F113" s="2459"/>
      <c r="G113" s="2459"/>
      <c r="H113" s="2459"/>
      <c r="I113" s="2459"/>
      <c r="J113" s="2459"/>
      <c r="K113" s="2459"/>
      <c r="L113" s="2459"/>
      <c r="M113" s="2459"/>
      <c r="N113" s="2459"/>
      <c r="O113" s="2459"/>
      <c r="P113" s="2459"/>
      <c r="Q113" s="2460"/>
    </row>
    <row r="114" spans="2:17">
      <c r="H114" s="1530"/>
    </row>
    <row r="115" spans="2:17"/>
    <row r="116" spans="2:17"/>
    <row r="117" spans="2:17"/>
    <row r="118" spans="2:17"/>
  </sheetData>
  <sheetProtection password="9DA9" sheet="1" objects="1" scenarios="1"/>
  <mergeCells count="4">
    <mergeCell ref="E6:G6"/>
    <mergeCell ref="E24:G24"/>
    <mergeCell ref="E61:K63"/>
    <mergeCell ref="N61:P61"/>
  </mergeCells>
  <phoneticPr fontId="21"/>
  <conditionalFormatting sqref="N98">
    <cfRule type="expression" dxfId="34" priority="4" stopIfTrue="1">
      <formula>$J$52&gt;0</formula>
    </cfRule>
  </conditionalFormatting>
  <conditionalFormatting sqref="I39:I42">
    <cfRule type="expression" dxfId="33" priority="5" stopIfTrue="1">
      <formula>OR($I$29=0,$E$24=$S$28)</formula>
    </cfRule>
  </conditionalFormatting>
  <conditionalFormatting sqref="I25:I26">
    <cfRule type="expression" dxfId="32" priority="3" stopIfTrue="1">
      <formula>$E$24=$S$27</formula>
    </cfRule>
  </conditionalFormatting>
  <conditionalFormatting sqref="M39:M43">
    <cfRule type="expression" dxfId="31" priority="2">
      <formula>$M$14=0</formula>
    </cfRule>
  </conditionalFormatting>
  <conditionalFormatting sqref="N39:N43">
    <cfRule type="expression" dxfId="30" priority="1">
      <formula>$M$14=0</formula>
    </cfRule>
  </conditionalFormatting>
  <dataValidations count="8">
    <dataValidation allowBlank="1" showInputMessage="1" sqref="N98"/>
    <dataValidation type="list" allowBlank="1" showInputMessage="1" sqref="N61">
      <formula1>$T$59:$T$61</formula1>
    </dataValidation>
    <dataValidation type="list" allowBlank="1" showInputMessage="1" showErrorMessage="1" sqref="F65">
      <formula1>$T$65:$T$68</formula1>
    </dataValidation>
    <dataValidation type="list" allowBlank="1" showInputMessage="1" showErrorMessage="1" sqref="K65">
      <formula1>$U$65:$U$67</formula1>
    </dataValidation>
    <dataValidation type="list" allowBlank="1" showInputMessage="1" showErrorMessage="1" sqref="N37">
      <formula1>$S$37:$S$41</formula1>
    </dataValidation>
    <dataValidation type="list" allowBlank="1" showInputMessage="1" showErrorMessage="1" sqref="E24:G24">
      <formula1>$S$27:$S$28</formula1>
    </dataValidation>
    <dataValidation type="list" allowBlank="1" showInputMessage="1" showErrorMessage="1" sqref="M6">
      <formula1>$T$5:$T$9</formula1>
    </dataValidation>
    <dataValidation type="list" allowBlank="1" showInputMessage="1" showErrorMessage="1" sqref="E6">
      <formula1>$S$3:$S$4</formula1>
    </dataValidation>
  </dataValidations>
  <pageMargins left="0.78740157480314965" right="0.78740157480314965" top="0.98425196850393704" bottom="0.98425196850393704" header="0.51181102362204722" footer="0.51181102362204722"/>
  <pageSetup paperSize="9" scale="67" fitToHeight="0" orientation="portrait" r:id="rId1"/>
  <headerFooter alignWithMargins="0">
    <oddHeader>&amp;L&amp;F&amp;R&amp;A</oddHeader>
    <oddFooter>&amp;C&amp;P/&amp;N</oddFooter>
  </headerFooter>
  <rowBreaks count="1" manualBreakCount="1">
    <brk id="70" max="16383"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69"/>
  <sheetViews>
    <sheetView showGridLines="0" zoomScaleNormal="100" zoomScaleSheetLayoutView="100" workbookViewId="0"/>
  </sheetViews>
  <sheetFormatPr defaultColWidth="0" defaultRowHeight="13.5" zeroHeight="1"/>
  <cols>
    <col min="1" max="1" width="2.5" customWidth="1"/>
    <col min="2" max="2" width="25.125" hidden="1" customWidth="1"/>
    <col min="3" max="3" width="11" hidden="1" customWidth="1"/>
    <col min="4" max="4" width="5" style="2203" customWidth="1"/>
    <col min="5" max="5" width="1.75" style="2203" customWidth="1"/>
    <col min="6" max="15" width="11.125" style="2203" customWidth="1"/>
    <col min="16" max="16" width="2.125" customWidth="1"/>
  </cols>
  <sheetData>
    <row r="1" spans="2:21" ht="15.75">
      <c r="D1" s="1020"/>
      <c r="E1" s="1181"/>
      <c r="F1" s="1021"/>
      <c r="G1" s="1021"/>
      <c r="H1" s="1021"/>
      <c r="I1" s="1021"/>
      <c r="J1" s="1021"/>
      <c r="K1" s="1021"/>
      <c r="L1" s="1532" t="s">
        <v>2952</v>
      </c>
      <c r="M1" s="1023" t="str">
        <f>メイン!C11</f>
        <v>○○ビル</v>
      </c>
      <c r="N1" s="1024"/>
      <c r="O1" s="1533"/>
      <c r="R1" t="s">
        <v>1450</v>
      </c>
    </row>
    <row r="2" spans="2:21" ht="5.25" customHeight="1" thickBot="1">
      <c r="D2" s="1020"/>
      <c r="E2" s="1181"/>
      <c r="F2" s="1181"/>
      <c r="G2" s="1181"/>
      <c r="H2" s="1181"/>
      <c r="I2" s="1181"/>
      <c r="J2" s="1181"/>
      <c r="K2" s="1181"/>
      <c r="L2" s="1534"/>
      <c r="M2" s="1181"/>
      <c r="N2" s="1181"/>
      <c r="O2" s="1181"/>
    </row>
    <row r="3" spans="2:21" ht="18.75" thickBot="1">
      <c r="D3" s="1535" t="s">
        <v>623</v>
      </c>
      <c r="E3" s="1026"/>
      <c r="F3" s="1026"/>
      <c r="G3" s="1026"/>
      <c r="H3" s="1021"/>
      <c r="I3" s="1028"/>
      <c r="J3" s="1029" t="s">
        <v>2827</v>
      </c>
      <c r="K3" s="1030"/>
      <c r="L3" s="1413"/>
      <c r="M3" s="1026"/>
      <c r="N3" s="1026"/>
      <c r="O3" s="1262" t="str">
        <f>IF(メイン!E39=0,"",メイン!E39)</f>
        <v>基本設計段階</v>
      </c>
      <c r="R3" t="s">
        <v>2837</v>
      </c>
      <c r="T3" t="str">
        <f>メイン!I39</f>
        <v>基本設計段階</v>
      </c>
    </row>
    <row r="4" spans="2:21" ht="6" customHeight="1">
      <c r="D4" s="1025"/>
      <c r="E4" s="1026"/>
      <c r="F4" s="1026"/>
      <c r="G4" s="1026"/>
      <c r="H4" s="1026"/>
      <c r="I4" s="1026"/>
      <c r="J4" s="1026"/>
      <c r="K4" s="1026"/>
      <c r="L4" s="1536"/>
      <c r="M4" s="1026"/>
      <c r="N4" s="1026"/>
      <c r="O4" s="1026"/>
      <c r="S4" t="s">
        <v>2838</v>
      </c>
      <c r="T4" t="str">
        <f>メイン!I40</f>
        <v>実施設計段階</v>
      </c>
    </row>
    <row r="5" spans="2:21" ht="13.5" customHeight="1">
      <c r="D5" s="1465">
        <v>1</v>
      </c>
      <c r="E5" s="1032" t="s">
        <v>624</v>
      </c>
      <c r="F5" s="1032"/>
      <c r="G5" s="1032"/>
      <c r="H5" s="1033"/>
      <c r="I5" s="1033"/>
      <c r="J5" s="1033"/>
      <c r="K5" s="1033"/>
      <c r="L5" s="1537"/>
      <c r="M5" s="1033"/>
      <c r="N5" s="1033"/>
      <c r="O5" s="1033"/>
      <c r="T5" t="str">
        <f>メイン!I41</f>
        <v>竣工段階</v>
      </c>
    </row>
    <row r="6" spans="2:21" ht="13.5" customHeight="1">
      <c r="D6" s="1465">
        <v>1.1000000000000001</v>
      </c>
      <c r="E6" s="1032" t="s">
        <v>923</v>
      </c>
      <c r="F6" s="2206"/>
      <c r="G6" s="1032"/>
      <c r="H6" s="1033"/>
      <c r="I6" s="1033"/>
      <c r="J6" s="1033"/>
      <c r="K6" s="1033"/>
      <c r="L6" s="1537"/>
      <c r="M6" s="1033"/>
      <c r="N6" s="1033"/>
      <c r="O6" s="1033"/>
      <c r="R6" t="s">
        <v>1259</v>
      </c>
    </row>
    <row r="7" spans="2:21" ht="13.5" customHeight="1" thickBot="1">
      <c r="D7" s="1538"/>
      <c r="E7" s="1538"/>
      <c r="F7" s="1185"/>
      <c r="G7" s="1043"/>
      <c r="H7" s="1044"/>
      <c r="I7" s="1045" t="s">
        <v>1484</v>
      </c>
      <c r="J7" s="1046">
        <f>重み!M142</f>
        <v>0.4</v>
      </c>
      <c r="K7" s="1186"/>
      <c r="L7" s="1188"/>
      <c r="N7" s="1033"/>
      <c r="O7" s="1033"/>
      <c r="R7" t="s">
        <v>1260</v>
      </c>
    </row>
    <row r="8" spans="2:21" ht="28.5" customHeight="1" thickBot="1">
      <c r="D8" s="1025"/>
      <c r="E8" s="1162"/>
      <c r="F8" s="1049">
        <v>3</v>
      </c>
      <c r="G8" s="1166" t="s">
        <v>625</v>
      </c>
      <c r="H8" s="1054"/>
      <c r="I8" s="1054"/>
      <c r="J8" s="1054"/>
      <c r="K8" s="1054"/>
      <c r="L8" s="1355"/>
      <c r="M8" s="1033"/>
      <c r="N8" s="1033"/>
      <c r="O8" s="1033"/>
    </row>
    <row r="9" spans="2:21" ht="15.75" customHeight="1">
      <c r="B9" s="1">
        <v>1</v>
      </c>
      <c r="C9" s="1">
        <v>1</v>
      </c>
      <c r="D9" s="1025"/>
      <c r="E9" s="1162"/>
      <c r="F9" s="1056" t="str">
        <f>IF(F8=$S$16,$T$10,IF(ROUNDDOWN(F8,0)=$S$10,$U$10,$T$10))</f>
        <v>　レベル　1</v>
      </c>
      <c r="G9" s="1058" t="s">
        <v>909</v>
      </c>
      <c r="H9" s="1059"/>
      <c r="I9" s="1059"/>
      <c r="J9" s="1059"/>
      <c r="K9" s="1059"/>
      <c r="L9" s="1539"/>
      <c r="M9" s="1033"/>
      <c r="N9" s="1033"/>
      <c r="O9" s="1033"/>
    </row>
    <row r="10" spans="2:21" ht="15.75" customHeight="1">
      <c r="B10" s="1" t="s">
        <v>242</v>
      </c>
      <c r="C10" s="1">
        <v>2</v>
      </c>
      <c r="D10" s="1025"/>
      <c r="E10" s="1162"/>
      <c r="F10" s="1061" t="str">
        <f>IF(F8=$S$16,$T$11,IF(ROUNDDOWN(F8,0)=$S$11,$U$11,$T$11))</f>
        <v>　レベル　2</v>
      </c>
      <c r="G10" s="1065" t="s">
        <v>2365</v>
      </c>
      <c r="H10" s="1066"/>
      <c r="I10" s="1066"/>
      <c r="J10" s="1066"/>
      <c r="K10" s="1066"/>
      <c r="L10" s="1540"/>
      <c r="M10" s="1033"/>
      <c r="N10" s="1033"/>
      <c r="O10" s="1033"/>
      <c r="S10">
        <v>1</v>
      </c>
      <c r="T10" t="s">
        <v>1261</v>
      </c>
      <c r="U10" t="s">
        <v>1262</v>
      </c>
    </row>
    <row r="11" spans="2:21" ht="15.75" customHeight="1">
      <c r="B11" s="1">
        <v>3</v>
      </c>
      <c r="C11" s="1">
        <v>3</v>
      </c>
      <c r="D11" s="1025"/>
      <c r="E11" s="1162"/>
      <c r="F11" s="1061" t="str">
        <f>IF(F8=$S$16,$T$12,IF(ROUNDDOWN(F8,0)=$S$12,$U$12,$T$12))</f>
        <v>■レベル　3</v>
      </c>
      <c r="G11" s="1065" t="s">
        <v>626</v>
      </c>
      <c r="H11" s="1066"/>
      <c r="I11" s="1066"/>
      <c r="J11" s="1066"/>
      <c r="K11" s="1066"/>
      <c r="L11" s="1541"/>
      <c r="M11" s="1033"/>
      <c r="N11" s="1033"/>
      <c r="O11" s="1033"/>
      <c r="S11">
        <v>2</v>
      </c>
      <c r="T11" t="s">
        <v>1451</v>
      </c>
      <c r="U11" t="s">
        <v>1452</v>
      </c>
    </row>
    <row r="12" spans="2:21" ht="15.75" customHeight="1">
      <c r="B12" s="1">
        <v>4</v>
      </c>
      <c r="C12" s="1">
        <v>4</v>
      </c>
      <c r="D12" s="1025"/>
      <c r="E12" s="1162"/>
      <c r="F12" s="1061" t="str">
        <f>IF(F8=$S$16,$T$13,IF(ROUNDDOWN(F8,0)=$S$13,$U$13,$T$13))</f>
        <v>　レベル　4</v>
      </c>
      <c r="G12" s="1065" t="s">
        <v>910</v>
      </c>
      <c r="H12" s="1066"/>
      <c r="I12" s="1066"/>
      <c r="J12" s="1066"/>
      <c r="K12" s="1066"/>
      <c r="L12" s="1541"/>
      <c r="M12" s="1033"/>
      <c r="N12" s="1033"/>
      <c r="O12" s="1033"/>
      <c r="S12">
        <v>3</v>
      </c>
      <c r="T12" t="s">
        <v>1457</v>
      </c>
      <c r="U12" t="s">
        <v>1458</v>
      </c>
    </row>
    <row r="13" spans="2:21" ht="15.75" customHeight="1">
      <c r="B13" s="1" t="s">
        <v>242</v>
      </c>
      <c r="C13" s="1">
        <v>5</v>
      </c>
      <c r="D13" s="1025"/>
      <c r="E13" s="1162"/>
      <c r="F13" s="1072" t="str">
        <f>IF(F8=$S$16,$T$14,IF(ROUNDDOWN(F8,0)=$S$14,$U$14,$T$14))</f>
        <v>　レベル　5</v>
      </c>
      <c r="G13" s="1076" t="s">
        <v>2365</v>
      </c>
      <c r="H13" s="1077"/>
      <c r="I13" s="1077"/>
      <c r="J13" s="1077"/>
      <c r="K13" s="1077"/>
      <c r="L13" s="1542"/>
      <c r="M13" s="1033"/>
      <c r="N13" s="1033"/>
      <c r="O13" s="1033"/>
      <c r="S13">
        <v>4</v>
      </c>
      <c r="T13" t="s">
        <v>1335</v>
      </c>
      <c r="U13" t="s">
        <v>1336</v>
      </c>
    </row>
    <row r="14" spans="2:21" ht="14.25" customHeight="1">
      <c r="B14" s="1079">
        <v>0</v>
      </c>
      <c r="C14" s="1079">
        <v>0</v>
      </c>
      <c r="D14" s="1025"/>
      <c r="E14" s="1162"/>
      <c r="F14" s="1162"/>
      <c r="G14" s="1543"/>
      <c r="H14" s="1544"/>
      <c r="I14" s="1544"/>
      <c r="J14" s="1544"/>
      <c r="K14" s="1544"/>
      <c r="L14" s="1537"/>
      <c r="M14" s="1033"/>
      <c r="N14" s="1033"/>
      <c r="O14" s="1033"/>
      <c r="S14">
        <v>5</v>
      </c>
      <c r="T14" t="s">
        <v>1342</v>
      </c>
      <c r="U14" t="s">
        <v>1343</v>
      </c>
    </row>
    <row r="15" spans="2:21" ht="14.25" customHeight="1">
      <c r="D15" s="1465">
        <v>1.2</v>
      </c>
      <c r="E15" s="1032" t="s">
        <v>627</v>
      </c>
      <c r="F15" s="1032"/>
      <c r="G15" s="1033"/>
      <c r="H15" s="1264"/>
      <c r="I15" s="1033"/>
      <c r="J15" s="1033"/>
      <c r="K15" s="1033"/>
      <c r="L15" s="1545"/>
      <c r="M15" s="1033"/>
      <c r="N15" s="1033"/>
      <c r="O15" s="1033"/>
    </row>
    <row r="16" spans="2:21" ht="14.25" customHeight="1">
      <c r="D16" s="1465"/>
      <c r="E16" s="1032"/>
      <c r="F16" s="1184" t="s">
        <v>911</v>
      </c>
      <c r="G16" s="1033"/>
      <c r="H16" s="1264"/>
      <c r="I16" s="1033"/>
      <c r="J16" s="1033"/>
      <c r="K16" s="1184" t="s">
        <v>628</v>
      </c>
      <c r="L16" s="1545"/>
      <c r="M16" s="1033"/>
      <c r="N16" s="1033"/>
      <c r="O16" s="1033"/>
      <c r="S16">
        <v>0</v>
      </c>
      <c r="T16" t="s">
        <v>1263</v>
      </c>
      <c r="U16" t="s">
        <v>1263</v>
      </c>
    </row>
    <row r="17" spans="2:15" ht="14.25" customHeight="1" thickBot="1">
      <c r="B17" t="s">
        <v>1264</v>
      </c>
      <c r="C17" t="s">
        <v>1265</v>
      </c>
      <c r="D17" s="1025"/>
      <c r="E17" s="1162"/>
      <c r="F17" s="1042"/>
      <c r="G17" s="1043"/>
      <c r="H17" s="1044"/>
      <c r="I17" s="1045" t="s">
        <v>1484</v>
      </c>
      <c r="J17" s="1048">
        <f>重み!M144</f>
        <v>0.7</v>
      </c>
      <c r="K17" s="1042"/>
      <c r="L17" s="1043"/>
      <c r="M17" s="1044"/>
      <c r="N17" s="1045" t="s">
        <v>1484</v>
      </c>
      <c r="O17" s="1048">
        <f>重み!M145</f>
        <v>0.3</v>
      </c>
    </row>
    <row r="18" spans="2:15" ht="28.5" customHeight="1" thickBot="1">
      <c r="B18" s="1332" t="s">
        <v>629</v>
      </c>
      <c r="C18" s="1332"/>
      <c r="D18" s="1025"/>
      <c r="E18" s="1162"/>
      <c r="F18" s="1049">
        <v>3</v>
      </c>
      <c r="G18" s="1053" t="s">
        <v>556</v>
      </c>
      <c r="H18" s="1054"/>
      <c r="I18" s="1054"/>
      <c r="J18" s="1546"/>
      <c r="K18" s="1049">
        <v>3</v>
      </c>
      <c r="L18" s="1166" t="s">
        <v>2745</v>
      </c>
      <c r="M18" s="1054"/>
      <c r="N18" s="1054"/>
      <c r="O18" s="1055"/>
    </row>
    <row r="19" spans="2:15" ht="18" customHeight="1">
      <c r="B19" s="1" t="s">
        <v>242</v>
      </c>
      <c r="C19" s="1" t="s">
        <v>242</v>
      </c>
      <c r="D19" s="1025"/>
      <c r="E19" s="1162"/>
      <c r="F19" s="1056" t="str">
        <f>IF(F18=$S$16,$T$10,IF(ROUNDDOWN(F18,0)=$S$10,$U$10,$T$10))</f>
        <v>　レベル　1</v>
      </c>
      <c r="G19" s="1059" t="s">
        <v>2365</v>
      </c>
      <c r="H19" s="1059"/>
      <c r="I19" s="1059"/>
      <c r="J19" s="1060"/>
      <c r="K19" s="1056" t="str">
        <f>IF(K18=$S$16,$T$10,IF(ROUNDDOWN(K18,0)=$S$10,$U$10,$T$10))</f>
        <v>　レベル　1</v>
      </c>
      <c r="L19" s="2531" t="s">
        <v>2365</v>
      </c>
      <c r="M19" s="1059"/>
      <c r="N19" s="1059"/>
      <c r="O19" s="1060"/>
    </row>
    <row r="20" spans="2:15" ht="18" customHeight="1">
      <c r="B20" s="1" t="s">
        <v>242</v>
      </c>
      <c r="C20" s="1" t="s">
        <v>242</v>
      </c>
      <c r="D20" s="1025"/>
      <c r="E20" s="1162"/>
      <c r="F20" s="1061" t="str">
        <f>IF(F18=$S$16,$T$11,IF(ROUNDDOWN(F18,0)=$S$11,$U$11,$T$11))</f>
        <v>　レベル　2</v>
      </c>
      <c r="G20" s="1065" t="s">
        <v>2365</v>
      </c>
      <c r="H20" s="1066"/>
      <c r="I20" s="1066"/>
      <c r="J20" s="1067"/>
      <c r="K20" s="1061" t="str">
        <f>IF(K18=$S$16,$T$11,IF(ROUNDDOWN(K18,0)=$S$11,$U$11,$T$11))</f>
        <v>　レベル　2</v>
      </c>
      <c r="L20" s="2532" t="s">
        <v>2365</v>
      </c>
      <c r="M20" s="1066"/>
      <c r="N20" s="1066"/>
      <c r="O20" s="1067"/>
    </row>
    <row r="21" spans="2:15" ht="18" customHeight="1">
      <c r="B21" s="1">
        <v>3</v>
      </c>
      <c r="C21" s="1">
        <v>3</v>
      </c>
      <c r="D21" s="1025"/>
      <c r="E21" s="1162"/>
      <c r="F21" s="1061" t="str">
        <f>IF(F18=$S$16,$T$12,IF(ROUNDDOWN(F18,0)=$S$12,$U$12,$T$12))</f>
        <v>■レベル　3</v>
      </c>
      <c r="G21" s="1065" t="s">
        <v>912</v>
      </c>
      <c r="H21" s="1066"/>
      <c r="I21" s="1066"/>
      <c r="J21" s="1067"/>
      <c r="K21" s="1061" t="str">
        <f>IF(K18=$S$16,$T$12,IF(ROUNDDOWN(K18,0)=$S$12,$U$12,$T$12))</f>
        <v>■レベル　3</v>
      </c>
      <c r="L21" s="1065" t="s">
        <v>1895</v>
      </c>
      <c r="M21" s="1066"/>
      <c r="N21" s="1066"/>
      <c r="O21" s="1067"/>
    </row>
    <row r="22" spans="2:15" ht="18" customHeight="1">
      <c r="B22" s="1">
        <v>4</v>
      </c>
      <c r="C22" s="1">
        <v>4</v>
      </c>
      <c r="D22" s="1025"/>
      <c r="E22" s="1162"/>
      <c r="F22" s="1061" t="str">
        <f>IF(F18=$S$16,$T$13,IF(ROUNDDOWN(F18,0)=$S$13,$U$13,$T$13))</f>
        <v>　レベル　4</v>
      </c>
      <c r="G22" s="1065" t="s">
        <v>913</v>
      </c>
      <c r="H22" s="1066"/>
      <c r="I22" s="1066"/>
      <c r="J22" s="1067"/>
      <c r="K22" s="1061" t="str">
        <f>IF(K18=$S$16,$T$13,IF(ROUNDDOWN(K18,0)=$S$13,$U$13,$T$13))</f>
        <v>　レベル　4</v>
      </c>
      <c r="L22" s="1065" t="s">
        <v>1896</v>
      </c>
      <c r="M22" s="1066"/>
      <c r="N22" s="1066"/>
      <c r="O22" s="1067"/>
    </row>
    <row r="23" spans="2:15" ht="18" customHeight="1">
      <c r="B23" s="1">
        <v>5</v>
      </c>
      <c r="C23" s="1">
        <v>5</v>
      </c>
      <c r="D23" s="1025"/>
      <c r="E23" s="1162"/>
      <c r="F23" s="1072" t="str">
        <f>IF(F18=$S$16,$T$14,IF(ROUNDDOWN(F18,0)=$S$14,$U$14,$T$14))</f>
        <v>　レベル　5</v>
      </c>
      <c r="G23" s="1076" t="s">
        <v>914</v>
      </c>
      <c r="H23" s="1077"/>
      <c r="I23" s="1077"/>
      <c r="J23" s="1078"/>
      <c r="K23" s="1072" t="str">
        <f>IF(K18=$S$16,$T$14,IF(ROUNDDOWN(K18,0)=$S$14,$U$14,$T$14))</f>
        <v>　レベル　5</v>
      </c>
      <c r="L23" s="1076" t="s">
        <v>1897</v>
      </c>
      <c r="M23" s="1077"/>
      <c r="N23" s="1077"/>
      <c r="O23" s="1078"/>
    </row>
    <row r="24" spans="2:15" ht="14.25" customHeight="1">
      <c r="B24" s="1079">
        <v>0</v>
      </c>
      <c r="C24" s="1079">
        <v>0</v>
      </c>
      <c r="D24" s="1025"/>
      <c r="E24" s="1162"/>
      <c r="F24" s="1162"/>
      <c r="G24" s="1543" t="s">
        <v>2340</v>
      </c>
      <c r="H24" s="1547" t="s">
        <v>2341</v>
      </c>
      <c r="I24" s="1547"/>
      <c r="J24" s="1162"/>
      <c r="K24" s="1162"/>
      <c r="L24" s="1548"/>
      <c r="M24" s="1162"/>
      <c r="N24" s="1162"/>
      <c r="O24" s="1162"/>
    </row>
    <row r="25" spans="2:15" ht="27.75" customHeight="1">
      <c r="D25" s="1025"/>
      <c r="E25" s="1162"/>
      <c r="F25" s="1021"/>
      <c r="G25" s="1549"/>
      <c r="H25" s="1550" t="s">
        <v>2342</v>
      </c>
      <c r="I25" s="1549"/>
      <c r="J25" s="1544"/>
      <c r="K25" s="1021"/>
      <c r="L25" s="1550"/>
      <c r="M25" s="1544"/>
      <c r="N25" s="1544"/>
      <c r="O25" s="1544"/>
    </row>
    <row r="26" spans="2:15" ht="14.25" customHeight="1">
      <c r="D26" s="1465">
        <v>2</v>
      </c>
      <c r="E26" s="1032" t="s">
        <v>1396</v>
      </c>
      <c r="F26" s="1033"/>
      <c r="G26" s="1033"/>
      <c r="H26" s="1033"/>
      <c r="I26" s="1033"/>
      <c r="J26" s="1033"/>
      <c r="K26" s="1033"/>
      <c r="L26" s="1537"/>
      <c r="M26" s="1033"/>
      <c r="N26" s="1033"/>
      <c r="O26" s="1033"/>
    </row>
    <row r="27" spans="2:15" ht="14.25" customHeight="1">
      <c r="D27" s="1551">
        <v>2.1</v>
      </c>
      <c r="E27" s="1263" t="s">
        <v>1397</v>
      </c>
      <c r="F27" s="1033"/>
      <c r="G27" s="1033"/>
      <c r="H27" s="1033"/>
      <c r="I27" s="1033"/>
      <c r="J27" s="1033"/>
      <c r="K27" s="1033"/>
      <c r="L27" s="1537"/>
      <c r="M27" s="1033"/>
      <c r="N27" s="1033"/>
      <c r="O27" s="1033"/>
    </row>
    <row r="28" spans="2:15" ht="14.25" customHeight="1" thickBot="1">
      <c r="C28" t="s">
        <v>1444</v>
      </c>
      <c r="D28" s="1538"/>
      <c r="E28" s="1538"/>
      <c r="F28" s="1185"/>
      <c r="G28" s="1043"/>
      <c r="H28" s="1044"/>
      <c r="I28" s="1044"/>
      <c r="J28" s="1044"/>
      <c r="K28" s="1044"/>
      <c r="L28" s="1186"/>
      <c r="M28" s="1186"/>
      <c r="N28" s="1045" t="s">
        <v>1484</v>
      </c>
      <c r="O28" s="1048">
        <f>重み!M147</f>
        <v>0.1</v>
      </c>
    </row>
    <row r="29" spans="2:15" ht="24" customHeight="1" thickBot="1">
      <c r="C29" s="1332">
        <v>0</v>
      </c>
      <c r="D29" s="1025"/>
      <c r="E29" s="1035"/>
      <c r="F29" s="2247">
        <f>IF(C29=1,M29,IF(G37=$R$3,0,ROUND(IF(H46=0,2,IF(H46&gt;=5,5,IF(H46&gt;=3,4,IF(H46&gt;=1,3)))),0)))</f>
        <v>3</v>
      </c>
      <c r="G29" s="1166" t="s">
        <v>915</v>
      </c>
      <c r="H29" s="1055"/>
      <c r="I29" s="1166"/>
      <c r="J29" s="1171"/>
      <c r="K29" s="1166" t="s">
        <v>1440</v>
      </c>
      <c r="L29" s="1055"/>
      <c r="M29" s="2239">
        <v>0</v>
      </c>
      <c r="N29" s="1256" t="s">
        <v>2343</v>
      </c>
      <c r="O29" s="1552"/>
    </row>
    <row r="30" spans="2:15" ht="18.75" customHeight="1">
      <c r="B30" s="1523"/>
      <c r="C30" s="1" t="s">
        <v>3107</v>
      </c>
      <c r="D30" s="1025"/>
      <c r="E30" s="1035"/>
      <c r="F30" s="1056" t="str">
        <f>IF(F29=$S$16,$T$10,IF(ROUNDDOWN(F29,0)=$S$10,$U$10,$T$10))</f>
        <v>　レベル　1</v>
      </c>
      <c r="G30" s="2896" t="s">
        <v>2365</v>
      </c>
      <c r="H30" s="3232"/>
      <c r="I30" s="3232"/>
      <c r="J30" s="3233"/>
      <c r="K30" s="2959" t="s">
        <v>793</v>
      </c>
      <c r="L30" s="3189"/>
      <c r="M30" s="1253" t="str">
        <f>IF(M29=$S$16,$T$10,IF(ROUNDDOWN(M29,0)=$S$10,$U$10,$T$10))</f>
        <v>　レベル　1</v>
      </c>
      <c r="N30" s="1553" t="s">
        <v>916</v>
      </c>
      <c r="O30" s="1554"/>
    </row>
    <row r="31" spans="2:15" ht="39.75" customHeight="1">
      <c r="B31" s="1523"/>
      <c r="C31" s="1" t="s">
        <v>1266</v>
      </c>
      <c r="D31" s="1025"/>
      <c r="E31" s="1035"/>
      <c r="F31" s="1061" t="str">
        <f>IF(F29=$S$16,$T$11,IF(ROUNDDOWN(F29,0)=$S$11,$U$11,$T$11))</f>
        <v>　レベル　2</v>
      </c>
      <c r="G31" s="2918" t="s">
        <v>794</v>
      </c>
      <c r="H31" s="3234"/>
      <c r="I31" s="3234"/>
      <c r="J31" s="3171"/>
      <c r="K31" s="3190"/>
      <c r="L31" s="3191"/>
      <c r="M31" s="1254" t="str">
        <f>IF(M29=$S$16,$T$11,IF(ROUNDDOWN(M29,0)=$S$11,$U$11,$T$11))</f>
        <v>　レベル　2</v>
      </c>
      <c r="N31" s="1555" t="s">
        <v>916</v>
      </c>
      <c r="O31" s="1556"/>
    </row>
    <row r="32" spans="2:15" ht="39.75" customHeight="1">
      <c r="B32" s="1523"/>
      <c r="C32" s="1">
        <v>3</v>
      </c>
      <c r="D32" s="1025"/>
      <c r="E32" s="1035"/>
      <c r="F32" s="1061" t="str">
        <f>IF(F29=$S$16,$T$12,IF(ROUNDDOWN(F29,0)=$S$12,$U$12,$T$12))</f>
        <v>■レベル　3</v>
      </c>
      <c r="G32" s="2918" t="s">
        <v>795</v>
      </c>
      <c r="H32" s="3234"/>
      <c r="I32" s="3234"/>
      <c r="J32" s="3171"/>
      <c r="K32" s="3190"/>
      <c r="L32" s="3191"/>
      <c r="M32" s="1254" t="str">
        <f>IF(M29=$S$16,$T$12,IF(ROUNDDOWN(M29,0)=$S$12,$U$12,$T$12))</f>
        <v>　レベル　3</v>
      </c>
      <c r="N32" s="2954" t="s">
        <v>630</v>
      </c>
      <c r="O32" s="3212"/>
    </row>
    <row r="33" spans="2:15" ht="44.25" customHeight="1">
      <c r="B33" s="1523"/>
      <c r="C33" s="1" t="s">
        <v>1267</v>
      </c>
      <c r="D33" s="1025"/>
      <c r="E33" s="1035"/>
      <c r="F33" s="1061" t="str">
        <f>IF(F29=$S$16,$T$13,IF(ROUNDDOWN(F29,0)=$S$13,$U$13,$T$13))</f>
        <v>　レベル　4</v>
      </c>
      <c r="G33" s="2918" t="s">
        <v>631</v>
      </c>
      <c r="H33" s="3234"/>
      <c r="I33" s="3234"/>
      <c r="J33" s="3171"/>
      <c r="K33" s="3190"/>
      <c r="L33" s="3191"/>
      <c r="M33" s="1254" t="str">
        <f>IF(M29=$S$16,$T$13,IF(ROUNDDOWN(M29,0)=$S$13,$U$13,$T$13))</f>
        <v>　レベル　4</v>
      </c>
      <c r="N33" s="1555" t="s">
        <v>917</v>
      </c>
      <c r="O33" s="1556"/>
    </row>
    <row r="34" spans="2:15" ht="43.5" customHeight="1">
      <c r="B34" s="1523"/>
      <c r="C34" s="1">
        <v>5</v>
      </c>
      <c r="D34" s="1025"/>
      <c r="E34" s="1035"/>
      <c r="F34" s="1072" t="str">
        <f>IF(F29=$S$16,$T$14,IF(ROUNDDOWN(F29,0)=$S$14,$U$14,$T$14))</f>
        <v>　レベル　5</v>
      </c>
      <c r="G34" s="2919" t="s">
        <v>632</v>
      </c>
      <c r="H34" s="3230"/>
      <c r="I34" s="3230"/>
      <c r="J34" s="3231"/>
      <c r="K34" s="3192"/>
      <c r="L34" s="3193"/>
      <c r="M34" s="1255" t="str">
        <f>IF(M29=$S$16,$T$14,IF(ROUNDDOWN(M29,0)=$S$14,$U$14,$T$14))</f>
        <v>　レベル　5</v>
      </c>
      <c r="N34" s="2957" t="s">
        <v>633</v>
      </c>
      <c r="O34" s="3213"/>
    </row>
    <row r="35" spans="2:15">
      <c r="B35" s="2246"/>
      <c r="C35" s="1079">
        <v>0</v>
      </c>
      <c r="D35" s="1557"/>
      <c r="E35" s="577"/>
      <c r="F35" s="1031"/>
      <c r="G35" s="1423" t="s">
        <v>466</v>
      </c>
      <c r="H35" s="577"/>
      <c r="I35" s="577"/>
      <c r="J35" s="577"/>
      <c r="K35" s="577"/>
      <c r="L35" s="1536"/>
      <c r="M35" s="577"/>
      <c r="N35" s="577"/>
      <c r="O35" s="577"/>
    </row>
    <row r="36" spans="2:15" ht="16.5" thickBot="1">
      <c r="D36" s="1025"/>
      <c r="E36" s="577"/>
      <c r="F36" s="1410"/>
      <c r="G36" s="1425" t="s">
        <v>248</v>
      </c>
      <c r="H36" s="3078" t="s">
        <v>1877</v>
      </c>
      <c r="I36" s="3079"/>
      <c r="J36" s="3080"/>
      <c r="K36" s="1558" t="s">
        <v>1870</v>
      </c>
      <c r="L36" s="1559"/>
      <c r="M36" s="1560"/>
      <c r="N36" s="1560"/>
      <c r="O36" s="1317" t="s">
        <v>1878</v>
      </c>
    </row>
    <row r="37" spans="2:15" ht="31.5" customHeight="1" thickBot="1">
      <c r="D37" s="1025"/>
      <c r="E37" s="577"/>
      <c r="F37" s="1410"/>
      <c r="G37" s="1049"/>
      <c r="H37" s="1303" t="s">
        <v>2505</v>
      </c>
      <c r="I37" s="1304"/>
      <c r="J37" s="1304"/>
      <c r="K37" s="1304"/>
      <c r="L37" s="1304"/>
      <c r="M37" s="1304"/>
      <c r="N37" s="1304"/>
      <c r="O37" s="1305"/>
    </row>
    <row r="38" spans="2:15" ht="15.75">
      <c r="B38">
        <v>0</v>
      </c>
      <c r="C38">
        <v>0</v>
      </c>
      <c r="D38" s="1025"/>
      <c r="E38" s="577"/>
      <c r="F38" s="1410"/>
      <c r="G38" s="3219">
        <v>1</v>
      </c>
      <c r="H38" s="3032" t="s">
        <v>1268</v>
      </c>
      <c r="I38" s="3222"/>
      <c r="J38" s="3223"/>
      <c r="K38" s="1292" t="s">
        <v>634</v>
      </c>
      <c r="L38" s="1561"/>
      <c r="M38" s="1372"/>
      <c r="N38" s="1372"/>
      <c r="O38" s="2207">
        <v>1</v>
      </c>
    </row>
    <row r="39" spans="2:15" ht="15.75">
      <c r="B39">
        <v>1</v>
      </c>
      <c r="C39">
        <v>1</v>
      </c>
      <c r="D39" s="1025"/>
      <c r="E39" s="577"/>
      <c r="F39" s="1410"/>
      <c r="G39" s="3220"/>
      <c r="H39" s="3224"/>
      <c r="I39" s="3092"/>
      <c r="J39" s="3093"/>
      <c r="K39" s="1295" t="s">
        <v>918</v>
      </c>
      <c r="L39" s="2208"/>
      <c r="M39" s="2209"/>
      <c r="N39" s="2209"/>
      <c r="O39" s="2210">
        <v>3</v>
      </c>
    </row>
    <row r="40" spans="2:15" ht="15.75">
      <c r="B40">
        <v>3</v>
      </c>
      <c r="C40">
        <v>2</v>
      </c>
      <c r="D40" s="1025"/>
      <c r="E40" s="577"/>
      <c r="F40" s="1410"/>
      <c r="G40" s="3221"/>
      <c r="H40" s="3225"/>
      <c r="I40" s="3081"/>
      <c r="J40" s="3082"/>
      <c r="K40" s="1294" t="s">
        <v>919</v>
      </c>
      <c r="L40" s="1562"/>
      <c r="M40" s="1430"/>
      <c r="N40" s="1430"/>
      <c r="O40" s="2210">
        <v>4</v>
      </c>
    </row>
    <row r="41" spans="2:15" ht="15.75">
      <c r="B41">
        <v>4</v>
      </c>
      <c r="C41">
        <v>3</v>
      </c>
      <c r="D41" s="1025"/>
      <c r="E41" s="577"/>
      <c r="F41" s="1410"/>
      <c r="G41" s="3086">
        <v>0</v>
      </c>
      <c r="H41" s="1563"/>
      <c r="I41" s="1434"/>
      <c r="J41" s="1435"/>
      <c r="K41" s="1294" t="s">
        <v>635</v>
      </c>
      <c r="L41" s="1562"/>
      <c r="M41" s="1430"/>
      <c r="N41" s="1430"/>
      <c r="O41" s="2210">
        <v>1</v>
      </c>
    </row>
    <row r="42" spans="2:15" ht="15.75">
      <c r="C42">
        <v>4</v>
      </c>
      <c r="D42" s="1025"/>
      <c r="E42" s="577"/>
      <c r="F42" s="1410"/>
      <c r="G42" s="3099"/>
      <c r="H42" s="1564" t="s">
        <v>636</v>
      </c>
      <c r="I42" s="1436"/>
      <c r="J42" s="1437"/>
      <c r="K42" s="1295" t="s">
        <v>920</v>
      </c>
      <c r="L42" s="2208"/>
      <c r="M42" s="2209"/>
      <c r="N42" s="2209"/>
      <c r="O42" s="2210">
        <v>3</v>
      </c>
    </row>
    <row r="43" spans="2:15" ht="15.75">
      <c r="C43">
        <v>5</v>
      </c>
      <c r="D43" s="1025"/>
      <c r="E43" s="577"/>
      <c r="F43" s="1410"/>
      <c r="G43" s="3087"/>
      <c r="H43" s="1565"/>
      <c r="I43" s="1436"/>
      <c r="J43" s="1437"/>
      <c r="K43" s="1446" t="s">
        <v>921</v>
      </c>
      <c r="L43" s="1566"/>
      <c r="M43" s="1434"/>
      <c r="N43" s="1434"/>
      <c r="O43" s="2211">
        <v>4</v>
      </c>
    </row>
    <row r="44" spans="2:15" ht="30.75" customHeight="1">
      <c r="C44">
        <v>6</v>
      </c>
      <c r="D44" s="1025"/>
      <c r="E44" s="577"/>
      <c r="F44" s="1410"/>
      <c r="G44" s="3226">
        <v>0</v>
      </c>
      <c r="H44" s="3106" t="s">
        <v>922</v>
      </c>
      <c r="I44" s="3084"/>
      <c r="J44" s="3085"/>
      <c r="K44" s="2984" t="s">
        <v>637</v>
      </c>
      <c r="L44" s="3064"/>
      <c r="M44" s="3064"/>
      <c r="N44" s="3065"/>
      <c r="O44" s="2212">
        <v>1</v>
      </c>
    </row>
    <row r="45" spans="2:15" ht="23.25" thickBot="1">
      <c r="C45">
        <v>7</v>
      </c>
      <c r="D45" s="1025"/>
      <c r="E45" s="1410"/>
      <c r="F45" s="1411"/>
      <c r="G45" s="3227"/>
      <c r="H45" s="3038"/>
      <c r="I45" s="3228"/>
      <c r="J45" s="3229"/>
      <c r="K45" s="1298" t="s">
        <v>638</v>
      </c>
      <c r="L45" s="2213"/>
      <c r="M45" s="2214"/>
      <c r="N45" s="2214"/>
      <c r="O45" s="2248" t="s">
        <v>1913</v>
      </c>
    </row>
    <row r="46" spans="2:15" ht="15.75">
      <c r="C46">
        <v>8</v>
      </c>
      <c r="D46" s="1025"/>
      <c r="E46" s="1410"/>
      <c r="F46" s="1411"/>
      <c r="G46" s="1312" t="s">
        <v>1899</v>
      </c>
      <c r="H46" s="2987">
        <f>IF(G37=$R3,0,SUM(G38:G45))</f>
        <v>1</v>
      </c>
      <c r="I46" s="2987"/>
      <c r="J46" s="2987"/>
      <c r="K46" s="1314"/>
      <c r="L46" s="1567"/>
      <c r="M46" s="1314"/>
      <c r="N46" s="1315"/>
      <c r="O46" s="1324"/>
    </row>
    <row r="47" spans="2:15" ht="6.75" customHeight="1">
      <c r="C47">
        <v>9</v>
      </c>
      <c r="D47" s="1465"/>
      <c r="E47" s="1032"/>
      <c r="F47" s="1033"/>
      <c r="G47" s="1033"/>
      <c r="H47" s="1033"/>
      <c r="I47" s="1033"/>
      <c r="J47" s="1033"/>
      <c r="K47" s="1033"/>
      <c r="L47" s="1537"/>
      <c r="M47" s="1033"/>
      <c r="N47" s="1033"/>
      <c r="O47" s="1033"/>
    </row>
    <row r="48" spans="2:15" ht="15.75">
      <c r="D48" s="1465"/>
      <c r="E48" s="1032"/>
      <c r="F48" s="1033"/>
      <c r="G48" s="1033"/>
      <c r="H48" s="1033"/>
      <c r="I48" s="1033"/>
      <c r="J48" s="1033"/>
      <c r="K48" s="1033"/>
      <c r="L48" s="1537"/>
      <c r="M48" s="1033"/>
      <c r="N48" s="1033"/>
      <c r="O48" s="1033"/>
    </row>
    <row r="49" spans="2:15" ht="14.25" customHeight="1">
      <c r="D49" s="1465">
        <v>2.2000000000000002</v>
      </c>
      <c r="E49" s="1032" t="s">
        <v>639</v>
      </c>
      <c r="F49" s="1032"/>
      <c r="G49" s="1568"/>
      <c r="H49" s="1569"/>
      <c r="I49" s="1569"/>
      <c r="J49" s="1570"/>
      <c r="K49" s="1570"/>
      <c r="L49" s="1571"/>
      <c r="M49" s="1029"/>
      <c r="N49" s="1029"/>
      <c r="O49" s="1029"/>
    </row>
    <row r="50" spans="2:15" ht="14.25" customHeight="1" thickBot="1">
      <c r="D50" s="1538"/>
      <c r="E50" s="1538"/>
      <c r="F50" s="1185"/>
      <c r="G50" s="1043"/>
      <c r="H50" s="1044"/>
      <c r="I50" s="1045" t="s">
        <v>1484</v>
      </c>
      <c r="J50" s="1046">
        <f>重み!M148</f>
        <v>0.2</v>
      </c>
      <c r="K50" s="1186"/>
      <c r="L50" s="1186"/>
      <c r="M50" s="1186"/>
      <c r="N50" s="1186"/>
      <c r="O50" s="1055"/>
    </row>
    <row r="51" spans="2:15" ht="21.75" customHeight="1" thickBot="1">
      <c r="D51" s="1025"/>
      <c r="E51" s="1181"/>
      <c r="F51" s="1049">
        <v>3</v>
      </c>
      <c r="G51" s="1053" t="s">
        <v>556</v>
      </c>
      <c r="H51" s="1054"/>
      <c r="I51" s="1054"/>
      <c r="J51" s="1054"/>
      <c r="K51" s="1054"/>
      <c r="L51" s="1389"/>
      <c r="M51" s="1054"/>
      <c r="N51" s="1054"/>
      <c r="O51" s="1055"/>
    </row>
    <row r="52" spans="2:15" ht="15.75">
      <c r="B52" s="1" t="s">
        <v>242</v>
      </c>
      <c r="C52" s="1">
        <v>1</v>
      </c>
      <c r="D52" s="1025"/>
      <c r="E52" s="1181"/>
      <c r="F52" s="1056" t="str">
        <f>IF(F51=$S$16,$T$10,IF(ROUNDDOWN(F51,0)=$S$10,$U$10,$T$10))</f>
        <v>　レベル　1</v>
      </c>
      <c r="G52" s="1058" t="s">
        <v>2365</v>
      </c>
      <c r="H52" s="1059"/>
      <c r="I52" s="1059"/>
      <c r="J52" s="1059"/>
      <c r="K52" s="1059"/>
      <c r="L52" s="1390"/>
      <c r="M52" s="1059"/>
      <c r="N52" s="1059"/>
      <c r="O52" s="1060"/>
    </row>
    <row r="53" spans="2:15" ht="15.75">
      <c r="B53" s="1" t="s">
        <v>242</v>
      </c>
      <c r="C53" s="1">
        <v>2</v>
      </c>
      <c r="D53" s="1025"/>
      <c r="E53" s="1181"/>
      <c r="F53" s="1061" t="str">
        <f>IF(F51=$S$16,$T$11,IF(ROUNDDOWN(F51,0)=$S$11,$U$11,$T$11))</f>
        <v>　レベル　2</v>
      </c>
      <c r="G53" s="1065" t="s">
        <v>2365</v>
      </c>
      <c r="H53" s="1066"/>
      <c r="I53" s="1066"/>
      <c r="J53" s="1066"/>
      <c r="K53" s="1066"/>
      <c r="L53" s="1391"/>
      <c r="M53" s="1066"/>
      <c r="N53" s="1066"/>
      <c r="O53" s="1067"/>
    </row>
    <row r="54" spans="2:15" ht="15.75">
      <c r="B54" s="1">
        <v>3</v>
      </c>
      <c r="C54" s="1">
        <v>3</v>
      </c>
      <c r="D54" s="1025"/>
      <c r="E54" s="1181"/>
      <c r="F54" s="1061" t="str">
        <f>IF(F51=$S$16,$T$12,IF(ROUNDDOWN(F51,0)=$S$12,$U$12,$T$12))</f>
        <v>■レベル　3</v>
      </c>
      <c r="G54" s="1065" t="s">
        <v>64</v>
      </c>
      <c r="H54" s="1066"/>
      <c r="I54" s="1066"/>
      <c r="J54" s="1066"/>
      <c r="K54" s="1066"/>
      <c r="L54" s="1391"/>
      <c r="M54" s="1066"/>
      <c r="N54" s="1066"/>
      <c r="O54" s="1067"/>
    </row>
    <row r="55" spans="2:15" ht="15.75">
      <c r="B55" s="1" t="s">
        <v>242</v>
      </c>
      <c r="C55" s="1">
        <v>4</v>
      </c>
      <c r="D55" s="1025"/>
      <c r="E55" s="1181"/>
      <c r="F55" s="1061" t="str">
        <f>IF(F51=$S$16,$T$13,IF(ROUNDDOWN(F51,0)=$S$13,$U$13,$T$13))</f>
        <v>　レベル　4</v>
      </c>
      <c r="G55" s="1065" t="s">
        <v>2365</v>
      </c>
      <c r="H55" s="1066"/>
      <c r="I55" s="1066"/>
      <c r="J55" s="1066"/>
      <c r="K55" s="1066"/>
      <c r="L55" s="1391"/>
      <c r="M55" s="1066"/>
      <c r="N55" s="1066"/>
      <c r="O55" s="1067"/>
    </row>
    <row r="56" spans="2:15" ht="15.75">
      <c r="B56" s="1">
        <v>5</v>
      </c>
      <c r="C56" s="1">
        <v>5</v>
      </c>
      <c r="D56" s="1025"/>
      <c r="E56" s="1181"/>
      <c r="F56" s="1072" t="str">
        <f>IF(F51=$S$16,$T$14,IF(ROUNDDOWN(F51,0)=$S$14,$U$14,$T$14))</f>
        <v>　レベル　5</v>
      </c>
      <c r="G56" s="1076" t="s">
        <v>640</v>
      </c>
      <c r="H56" s="1077"/>
      <c r="I56" s="1077"/>
      <c r="J56" s="1077"/>
      <c r="K56" s="1077"/>
      <c r="L56" s="1392"/>
      <c r="M56" s="1077"/>
      <c r="N56" s="1077"/>
      <c r="O56" s="1078"/>
    </row>
    <row r="57" spans="2:15" ht="13.5" customHeight="1">
      <c r="B57" s="1079">
        <v>0</v>
      </c>
      <c r="C57" s="1079">
        <v>0</v>
      </c>
      <c r="D57" s="1465"/>
      <c r="E57" s="1032"/>
      <c r="F57" s="1033"/>
      <c r="G57" s="1033"/>
      <c r="H57" s="1033"/>
      <c r="I57" s="1033"/>
      <c r="J57" s="1033"/>
      <c r="K57" s="1033"/>
      <c r="L57" s="1537"/>
      <c r="M57" s="1033"/>
      <c r="N57" s="1033"/>
      <c r="O57" s="1033"/>
    </row>
    <row r="58" spans="2:15" ht="14.25" customHeight="1">
      <c r="D58" s="1465">
        <v>2.2999999999999998</v>
      </c>
      <c r="E58" s="1032" t="s">
        <v>1399</v>
      </c>
      <c r="F58" s="1033"/>
      <c r="G58" s="1264"/>
      <c r="H58" s="1033"/>
      <c r="I58" s="1033"/>
      <c r="J58" s="1033"/>
      <c r="K58" s="1033"/>
      <c r="L58" s="1545"/>
      <c r="M58" s="1033"/>
      <c r="N58" s="1033"/>
    </row>
    <row r="59" spans="2:15" ht="14.25" customHeight="1" thickBot="1">
      <c r="D59" s="1025"/>
      <c r="E59" s="1162"/>
      <c r="F59" s="1185"/>
      <c r="G59" s="1043"/>
      <c r="H59" s="1044"/>
      <c r="I59" s="1045" t="s">
        <v>1484</v>
      </c>
      <c r="J59" s="1046">
        <f>重み!M149</f>
        <v>0.2</v>
      </c>
      <c r="K59" s="1186"/>
      <c r="L59" s="1186"/>
      <c r="M59" s="1186"/>
      <c r="N59" s="1186"/>
      <c r="O59" s="1055"/>
    </row>
    <row r="60" spans="2:15" ht="24" customHeight="1" thickBot="1">
      <c r="D60" s="1025"/>
      <c r="E60" s="1162"/>
      <c r="F60" s="1049">
        <v>3</v>
      </c>
      <c r="G60" s="1053" t="s">
        <v>556</v>
      </c>
      <c r="H60" s="1054"/>
      <c r="I60" s="1054"/>
      <c r="J60" s="1054"/>
      <c r="K60" s="1054"/>
      <c r="L60" s="1389"/>
      <c r="M60" s="1054"/>
      <c r="N60" s="1166" t="s">
        <v>1440</v>
      </c>
      <c r="O60" s="1055"/>
    </row>
    <row r="61" spans="2:15" ht="15.75">
      <c r="B61" s="1" t="s">
        <v>3105</v>
      </c>
      <c r="C61" s="1">
        <v>1</v>
      </c>
      <c r="D61" s="1025"/>
      <c r="E61" s="1162"/>
      <c r="F61" s="1056" t="str">
        <f>IF(F60=$S$16,$T$10,IF(ROUNDDOWN(F60,0)=$S$10,$U$10,$T$10))</f>
        <v>　レベル　1</v>
      </c>
      <c r="G61" s="1058" t="s">
        <v>2365</v>
      </c>
      <c r="H61" s="1059"/>
      <c r="I61" s="1059"/>
      <c r="J61" s="1059"/>
      <c r="K61" s="1059"/>
      <c r="L61" s="1390"/>
      <c r="M61" s="1059"/>
      <c r="N61" s="2959" t="s">
        <v>641</v>
      </c>
      <c r="O61" s="3189"/>
    </row>
    <row r="62" spans="2:15" ht="15.75">
      <c r="B62" s="1" t="s">
        <v>242</v>
      </c>
      <c r="C62" s="1">
        <v>2</v>
      </c>
      <c r="D62" s="1025"/>
      <c r="E62" s="1162"/>
      <c r="F62" s="1061" t="str">
        <f>IF(F60=$S$16,$T$11,IF(ROUNDDOWN(F60,0)=$S$11,$U$11,$T$11))</f>
        <v>　レベル　2</v>
      </c>
      <c r="G62" s="1065" t="s">
        <v>2365</v>
      </c>
      <c r="H62" s="1066"/>
      <c r="I62" s="1066"/>
      <c r="J62" s="1066"/>
      <c r="K62" s="1066"/>
      <c r="L62" s="1391"/>
      <c r="M62" s="1066"/>
      <c r="N62" s="3190"/>
      <c r="O62" s="3191"/>
    </row>
    <row r="63" spans="2:15" ht="15.75">
      <c r="B63" s="1">
        <v>3</v>
      </c>
      <c r="C63" s="1">
        <v>3</v>
      </c>
      <c r="D63" s="1025"/>
      <c r="E63" s="1162"/>
      <c r="F63" s="1061" t="str">
        <f>IF(F60=$S$16,$T$12,IF(ROUNDDOWN(F60,0)=$S$12,$U$12,$T$12))</f>
        <v>■レベル　3</v>
      </c>
      <c r="G63" s="1065" t="s">
        <v>65</v>
      </c>
      <c r="H63" s="1066"/>
      <c r="I63" s="1066"/>
      <c r="J63" s="1066"/>
      <c r="K63" s="1066"/>
      <c r="L63" s="1391"/>
      <c r="M63" s="1066"/>
      <c r="N63" s="3190"/>
      <c r="O63" s="3191"/>
    </row>
    <row r="64" spans="2:15" ht="15.75">
      <c r="B64" s="1" t="s">
        <v>1266</v>
      </c>
      <c r="C64" s="1">
        <v>4</v>
      </c>
      <c r="D64" s="1025"/>
      <c r="E64" s="1162"/>
      <c r="F64" s="1061" t="str">
        <f>IF(F60=$S$16,$T$13,IF(ROUNDDOWN(F60,0)=$S$13,$U$13,$T$13))</f>
        <v>　レベル　4</v>
      </c>
      <c r="G64" s="1065" t="s">
        <v>2365</v>
      </c>
      <c r="H64" s="1066"/>
      <c r="I64" s="1066"/>
      <c r="J64" s="1066"/>
      <c r="K64" s="1066"/>
      <c r="L64" s="1391"/>
      <c r="M64" s="1066"/>
      <c r="N64" s="3190"/>
      <c r="O64" s="3191"/>
    </row>
    <row r="65" spans="2:15" ht="15.75">
      <c r="B65" s="1">
        <v>5</v>
      </c>
      <c r="C65" s="1">
        <v>5</v>
      </c>
      <c r="D65" s="1025"/>
      <c r="E65" s="1162"/>
      <c r="F65" s="1072" t="str">
        <f>IF(F60=$S$16,$T$14,IF(ROUNDDOWN(F60,0)=$S$14,$U$14,$T$14))</f>
        <v>　レベル　5</v>
      </c>
      <c r="G65" s="1076" t="s">
        <v>66</v>
      </c>
      <c r="H65" s="1077"/>
      <c r="I65" s="1077"/>
      <c r="J65" s="1077"/>
      <c r="K65" s="1077"/>
      <c r="L65" s="1392"/>
      <c r="M65" s="1077"/>
      <c r="N65" s="3192"/>
      <c r="O65" s="3193"/>
    </row>
    <row r="66" spans="2:15" ht="15" customHeight="1">
      <c r="B66" s="1079">
        <v>0</v>
      </c>
      <c r="C66" s="1079">
        <v>0</v>
      </c>
      <c r="G66" s="1572" t="s">
        <v>1900</v>
      </c>
      <c r="L66" s="2215"/>
    </row>
    <row r="67" spans="2:15" ht="21" customHeight="1">
      <c r="G67" s="1528" t="s">
        <v>642</v>
      </c>
      <c r="H67" s="2216"/>
      <c r="I67" s="2216"/>
      <c r="J67" s="2216"/>
      <c r="K67" s="3214"/>
      <c r="L67" s="3215"/>
      <c r="M67" s="3215"/>
      <c r="N67" s="3215"/>
      <c r="O67" s="3216"/>
    </row>
    <row r="68" spans="2:15" ht="8.25" customHeight="1">
      <c r="D68" s="1025"/>
      <c r="E68" s="1026"/>
      <c r="F68" s="1026"/>
      <c r="G68" s="1572"/>
      <c r="L68" s="2215"/>
    </row>
    <row r="69" spans="2:15" ht="15" customHeight="1">
      <c r="D69" s="1025"/>
      <c r="E69" s="1026"/>
      <c r="F69" s="1026"/>
      <c r="G69" s="1527" t="s">
        <v>643</v>
      </c>
      <c r="H69" s="144"/>
      <c r="I69" s="144"/>
      <c r="J69" s="144"/>
      <c r="K69" s="144"/>
      <c r="L69" s="2432"/>
      <c r="M69" s="144"/>
    </row>
    <row r="70" spans="2:15" ht="13.5" customHeight="1" thickBot="1">
      <c r="D70" s="1025"/>
      <c r="E70" s="1026"/>
      <c r="F70" s="1026"/>
      <c r="G70" s="1573" t="s">
        <v>644</v>
      </c>
      <c r="H70" s="1574"/>
      <c r="I70" s="1574"/>
      <c r="J70" s="1574"/>
      <c r="K70" s="1574"/>
      <c r="L70" s="1575"/>
      <c r="M70" s="1575"/>
    </row>
    <row r="71" spans="2:15" ht="13.5" customHeight="1" thickTop="1">
      <c r="D71" s="1025"/>
      <c r="E71" s="1026"/>
      <c r="F71" s="1026"/>
      <c r="G71" s="1576" t="s">
        <v>645</v>
      </c>
      <c r="H71" s="1577"/>
      <c r="I71" s="1577"/>
      <c r="J71" s="1578"/>
      <c r="K71" s="1577"/>
      <c r="L71" s="1579"/>
      <c r="M71" s="1580"/>
    </row>
    <row r="72" spans="2:15" ht="13.5" customHeight="1">
      <c r="D72" s="1025"/>
      <c r="E72" s="1026"/>
      <c r="F72" s="1026"/>
      <c r="G72" s="1581"/>
      <c r="H72" s="1330" t="s">
        <v>646</v>
      </c>
      <c r="I72" s="1582"/>
      <c r="J72" s="1583"/>
      <c r="K72" s="1330" t="s">
        <v>101</v>
      </c>
      <c r="L72" s="1330"/>
      <c r="M72" s="1584"/>
    </row>
    <row r="73" spans="2:15" ht="13.5" customHeight="1">
      <c r="D73" s="1025"/>
      <c r="E73" s="1026"/>
      <c r="F73" s="1026"/>
      <c r="G73" s="1581"/>
      <c r="H73" s="1330" t="s">
        <v>424</v>
      </c>
      <c r="I73" s="1582"/>
      <c r="J73" s="1583"/>
      <c r="K73" s="1583" t="s">
        <v>102</v>
      </c>
      <c r="L73" s="1330"/>
      <c r="M73" s="1584"/>
    </row>
    <row r="74" spans="2:15" ht="13.5" customHeight="1">
      <c r="D74" s="1025"/>
      <c r="E74" s="1026"/>
      <c r="F74" s="1026"/>
      <c r="G74" s="1581"/>
      <c r="H74" s="1330" t="s">
        <v>425</v>
      </c>
      <c r="I74" s="1582"/>
      <c r="J74" s="1583"/>
      <c r="K74" s="1583" t="s">
        <v>2194</v>
      </c>
      <c r="L74" s="1330"/>
      <c r="M74" s="1584"/>
    </row>
    <row r="75" spans="2:15" ht="13.5" customHeight="1">
      <c r="D75" s="1025"/>
      <c r="E75" s="1026"/>
      <c r="F75" s="1026"/>
      <c r="G75" s="1581"/>
      <c r="H75" s="1330" t="s">
        <v>426</v>
      </c>
      <c r="I75" s="1582"/>
      <c r="J75" s="1583"/>
      <c r="K75" s="1583"/>
      <c r="L75" s="1585"/>
      <c r="M75" s="1586"/>
    </row>
    <row r="76" spans="2:15" ht="13.5" customHeight="1">
      <c r="D76" s="1025"/>
      <c r="E76" s="1026"/>
      <c r="F76" s="1026"/>
      <c r="G76" s="1587"/>
      <c r="H76" s="1330" t="s">
        <v>103</v>
      </c>
      <c r="I76" s="1588"/>
      <c r="J76" s="1589"/>
      <c r="K76" s="1590"/>
      <c r="L76" s="1591"/>
      <c r="M76" s="1586"/>
    </row>
    <row r="77" spans="2:15" ht="13.5" customHeight="1">
      <c r="D77" s="1025"/>
      <c r="E77" s="1026"/>
      <c r="F77" s="1026"/>
      <c r="G77" s="1592" t="s">
        <v>427</v>
      </c>
      <c r="H77" s="1330"/>
      <c r="I77" s="1588"/>
      <c r="J77" s="1589"/>
      <c r="K77" s="1590"/>
      <c r="L77" s="1591"/>
      <c r="M77" s="1586"/>
    </row>
    <row r="78" spans="2:15" ht="13.5" customHeight="1">
      <c r="D78" s="1025"/>
      <c r="E78" s="1026"/>
      <c r="F78" s="1026"/>
      <c r="G78" s="1593" t="s">
        <v>428</v>
      </c>
      <c r="H78" s="1594"/>
      <c r="I78" s="2308"/>
      <c r="J78" s="1595"/>
      <c r="K78" s="1594"/>
      <c r="L78" s="1596"/>
      <c r="M78" s="1597"/>
    </row>
    <row r="79" spans="2:15" ht="13.5" customHeight="1">
      <c r="D79" s="1025"/>
      <c r="E79" s="1026"/>
      <c r="F79" s="1026"/>
      <c r="G79" s="1598" t="s">
        <v>6</v>
      </c>
      <c r="H79" s="144"/>
      <c r="I79" s="144"/>
      <c r="J79" s="144"/>
      <c r="K79" s="144"/>
      <c r="L79" s="144"/>
      <c r="M79" s="144"/>
      <c r="N79" s="1599"/>
      <c r="O79" s="1599"/>
    </row>
    <row r="80" spans="2:15" ht="9.75" customHeight="1">
      <c r="D80" s="1025"/>
      <c r="E80" s="1026"/>
      <c r="F80" s="1026"/>
      <c r="G80" s="1598" t="s">
        <v>104</v>
      </c>
      <c r="H80" s="144"/>
      <c r="I80" s="144"/>
      <c r="J80" s="144"/>
      <c r="K80" s="144"/>
      <c r="L80" s="144"/>
      <c r="M80" s="144"/>
      <c r="N80" s="1600"/>
      <c r="O80" s="1600"/>
    </row>
    <row r="81" spans="2:15" ht="9.75" customHeight="1">
      <c r="D81" s="1025"/>
      <c r="E81" s="1026"/>
      <c r="F81" s="1026"/>
      <c r="G81" s="1598" t="s">
        <v>105</v>
      </c>
      <c r="H81" s="144"/>
      <c r="I81" s="144"/>
      <c r="J81" s="144"/>
      <c r="K81" s="144"/>
      <c r="L81" s="144"/>
      <c r="M81" s="144"/>
      <c r="N81" s="1599"/>
      <c r="O81" s="1599"/>
    </row>
    <row r="82" spans="2:15" ht="15" customHeight="1">
      <c r="G82" s="1601"/>
      <c r="L82" s="2215"/>
    </row>
    <row r="83" spans="2:15" ht="14.25" customHeight="1">
      <c r="D83" s="1465">
        <v>2.4</v>
      </c>
      <c r="E83" s="1032" t="s">
        <v>67</v>
      </c>
      <c r="F83" s="1025"/>
      <c r="G83" s="1025"/>
      <c r="H83" s="1025"/>
      <c r="I83" s="1025"/>
      <c r="J83" s="1025"/>
      <c r="K83" s="1025"/>
      <c r="L83" s="1602"/>
      <c r="M83" s="1025"/>
      <c r="N83" s="1025"/>
    </row>
    <row r="84" spans="2:15" ht="14.25" customHeight="1" thickBot="1">
      <c r="D84" s="1025"/>
      <c r="E84" s="1025"/>
      <c r="F84" s="1185"/>
      <c r="G84" s="1043"/>
      <c r="H84" s="1044"/>
      <c r="I84" s="1045" t="s">
        <v>1484</v>
      </c>
      <c r="J84" s="1046">
        <f>重み!M150</f>
        <v>0.2</v>
      </c>
      <c r="K84" s="1186"/>
      <c r="L84" s="1186"/>
      <c r="M84" s="1186"/>
      <c r="N84" s="1186"/>
      <c r="O84" s="1055"/>
    </row>
    <row r="85" spans="2:15" ht="22.5" customHeight="1" thickBot="1">
      <c r="D85" s="1025"/>
      <c r="E85" s="1025"/>
      <c r="F85" s="1049">
        <v>3</v>
      </c>
      <c r="G85" s="1053" t="s">
        <v>556</v>
      </c>
      <c r="H85" s="1054"/>
      <c r="I85" s="1054"/>
      <c r="J85" s="1054"/>
      <c r="K85" s="1054"/>
      <c r="L85" s="1389"/>
      <c r="M85" s="1054"/>
      <c r="N85" s="1166" t="s">
        <v>1440</v>
      </c>
      <c r="O85" s="1055"/>
    </row>
    <row r="86" spans="2:15" ht="17.25" customHeight="1">
      <c r="B86" s="1">
        <v>1</v>
      </c>
      <c r="C86" s="1">
        <v>1</v>
      </c>
      <c r="D86" s="1025"/>
      <c r="E86" s="1025"/>
      <c r="F86" s="1056" t="str">
        <f>IF(F85=$S$16,$T$10,IF(ROUNDDOWN(F85,0)=$S$10,$U$10,$T$10))</f>
        <v>　レベル　1</v>
      </c>
      <c r="G86" s="1058" t="s">
        <v>7</v>
      </c>
      <c r="H86" s="1059"/>
      <c r="I86" s="1059"/>
      <c r="J86" s="1059"/>
      <c r="K86" s="1059"/>
      <c r="L86" s="1390"/>
      <c r="M86" s="1059"/>
      <c r="N86" s="2959" t="s">
        <v>8</v>
      </c>
      <c r="O86" s="3189"/>
    </row>
    <row r="87" spans="2:15" ht="17.25" customHeight="1">
      <c r="B87" s="1" t="s">
        <v>1269</v>
      </c>
      <c r="C87" s="1">
        <v>2</v>
      </c>
      <c r="D87" s="1025"/>
      <c r="E87" s="1025"/>
      <c r="F87" s="1061" t="str">
        <f>IF(F85=$S$16,$T$11,IF(ROUNDDOWN(F85,0)=$S$11,$U$11,$T$11))</f>
        <v>　レベル　2</v>
      </c>
      <c r="G87" s="1065" t="s">
        <v>2365</v>
      </c>
      <c r="H87" s="1066"/>
      <c r="I87" s="1066"/>
      <c r="J87" s="1066"/>
      <c r="K87" s="1066"/>
      <c r="L87" s="1391"/>
      <c r="M87" s="1066"/>
      <c r="N87" s="3190"/>
      <c r="O87" s="3191"/>
    </row>
    <row r="88" spans="2:15" ht="17.25" customHeight="1">
      <c r="B88" s="1">
        <v>3</v>
      </c>
      <c r="C88" s="1">
        <v>3</v>
      </c>
      <c r="D88" s="1025"/>
      <c r="E88" s="1025"/>
      <c r="F88" s="1061" t="str">
        <f>IF(F85=$S$16,$T$12,IF(ROUNDDOWN(F85,0)=$S$12,$U$12,$T$12))</f>
        <v>■レベル　3</v>
      </c>
      <c r="G88" s="1065" t="s">
        <v>9</v>
      </c>
      <c r="H88" s="1066"/>
      <c r="I88" s="1066"/>
      <c r="J88" s="1066"/>
      <c r="K88" s="1066"/>
      <c r="L88" s="1391"/>
      <c r="M88" s="1066"/>
      <c r="N88" s="3190"/>
      <c r="O88" s="3191"/>
    </row>
    <row r="89" spans="2:15" ht="17.25" customHeight="1">
      <c r="B89" s="1">
        <v>4</v>
      </c>
      <c r="C89" s="1">
        <v>4</v>
      </c>
      <c r="D89" s="1025"/>
      <c r="E89" s="1025"/>
      <c r="F89" s="1061" t="str">
        <f>IF(F85=$S$16,$T$13,IF(ROUNDDOWN(F85,0)=$S$13,$U$13,$T$13))</f>
        <v>　レベル　4</v>
      </c>
      <c r="G89" s="1065" t="s">
        <v>10</v>
      </c>
      <c r="H89" s="1066"/>
      <c r="I89" s="1066"/>
      <c r="J89" s="1066"/>
      <c r="K89" s="1066"/>
      <c r="L89" s="1391"/>
      <c r="M89" s="1066"/>
      <c r="N89" s="3190"/>
      <c r="O89" s="3191"/>
    </row>
    <row r="90" spans="2:15" ht="17.25" customHeight="1">
      <c r="B90" s="1">
        <v>5</v>
      </c>
      <c r="C90" s="1">
        <v>5</v>
      </c>
      <c r="D90" s="1025"/>
      <c r="E90" s="1025"/>
      <c r="F90" s="1072" t="str">
        <f>IF(F85=$S$16,$T$14,IF(ROUNDDOWN(F85,0)=$S$14,$U$14,$T$14))</f>
        <v>　レベル　5</v>
      </c>
      <c r="G90" s="1076" t="s">
        <v>11</v>
      </c>
      <c r="H90" s="1077"/>
      <c r="I90" s="1077"/>
      <c r="J90" s="1077"/>
      <c r="K90" s="1077"/>
      <c r="L90" s="1392"/>
      <c r="M90" s="1077"/>
      <c r="N90" s="3192"/>
      <c r="O90" s="3193"/>
    </row>
    <row r="91" spans="2:15" ht="14.25" customHeight="1">
      <c r="B91" s="1079">
        <v>0</v>
      </c>
      <c r="C91" s="1079">
        <v>0</v>
      </c>
      <c r="D91" s="1025"/>
      <c r="E91" s="1179"/>
      <c r="G91" s="1572" t="s">
        <v>2161</v>
      </c>
      <c r="L91" s="2215"/>
    </row>
    <row r="92" spans="2:15" ht="21" customHeight="1">
      <c r="G92" s="1528" t="s">
        <v>642</v>
      </c>
      <c r="H92" s="2216"/>
      <c r="I92" s="2216"/>
      <c r="J92" s="2216"/>
      <c r="K92" s="3214"/>
      <c r="L92" s="3215"/>
      <c r="M92" s="3215"/>
      <c r="N92" s="3215"/>
      <c r="O92" s="3216"/>
    </row>
    <row r="93" spans="2:15" ht="14.25" customHeight="1">
      <c r="D93" s="1025"/>
      <c r="E93" s="1179"/>
      <c r="G93" s="1572"/>
      <c r="L93" s="2215"/>
    </row>
    <row r="94" spans="2:15" ht="14.25" customHeight="1">
      <c r="D94" s="1025"/>
      <c r="E94" s="1026"/>
      <c r="F94" s="1026"/>
      <c r="G94" s="1527" t="s">
        <v>643</v>
      </c>
      <c r="H94" s="144"/>
      <c r="I94" s="144"/>
      <c r="J94" s="144"/>
      <c r="K94" s="144"/>
      <c r="L94" s="2432"/>
      <c r="M94" s="144"/>
      <c r="N94" s="144"/>
      <c r="O94" s="144"/>
    </row>
    <row r="95" spans="2:15" ht="13.5" customHeight="1" thickBot="1">
      <c r="D95" s="1025"/>
      <c r="E95" s="1026"/>
      <c r="F95" s="1026"/>
      <c r="G95" s="1603" t="s">
        <v>644</v>
      </c>
      <c r="H95" s="1604"/>
      <c r="I95" s="1604"/>
      <c r="J95" s="1604"/>
      <c r="K95" s="1604"/>
      <c r="L95" s="1604"/>
      <c r="M95" s="1604"/>
      <c r="N95" s="1604"/>
      <c r="O95" s="1605"/>
    </row>
    <row r="96" spans="2:15" ht="13.5" customHeight="1" thickTop="1">
      <c r="D96" s="1025"/>
      <c r="E96" s="1026"/>
      <c r="F96" s="1026"/>
      <c r="G96" s="1174" t="s">
        <v>12</v>
      </c>
      <c r="H96" s="1175"/>
      <c r="I96" s="1175"/>
      <c r="J96" s="1175"/>
      <c r="K96" s="1175"/>
      <c r="L96" s="1175"/>
      <c r="M96" s="1175"/>
      <c r="N96" s="1175"/>
      <c r="O96" s="1606"/>
    </row>
    <row r="97" spans="4:15" ht="13.5" customHeight="1">
      <c r="D97" s="1025"/>
      <c r="E97" s="1026"/>
      <c r="F97" s="1026"/>
      <c r="G97" s="1065"/>
      <c r="H97" s="1066" t="s">
        <v>13</v>
      </c>
      <c r="I97" s="1066"/>
      <c r="J97" s="1066"/>
      <c r="K97" s="1066"/>
      <c r="L97" s="1066" t="s">
        <v>364</v>
      </c>
      <c r="M97" s="1066"/>
      <c r="N97" s="1066"/>
      <c r="O97" s="1067"/>
    </row>
    <row r="98" spans="4:15" ht="13.5" customHeight="1">
      <c r="D98" s="1025"/>
      <c r="E98" s="1026"/>
      <c r="F98" s="1026"/>
      <c r="G98" s="1065"/>
      <c r="H98" s="1066" t="s">
        <v>14</v>
      </c>
      <c r="I98" s="1066"/>
      <c r="J98" s="1066"/>
      <c r="K98" s="1066"/>
      <c r="L98" s="1066" t="s">
        <v>2193</v>
      </c>
      <c r="M98" s="1066"/>
      <c r="N98" s="1066"/>
      <c r="O98" s="1067"/>
    </row>
    <row r="99" spans="4:15" ht="13.5" customHeight="1">
      <c r="D99" s="1025"/>
      <c r="E99" s="1026"/>
      <c r="F99" s="1026"/>
      <c r="G99" s="1065"/>
      <c r="H99" s="1066" t="s">
        <v>15</v>
      </c>
      <c r="I99" s="1066"/>
      <c r="J99" s="1066"/>
      <c r="K99" s="1066"/>
      <c r="L99" s="1066" t="s">
        <v>106</v>
      </c>
      <c r="M99" s="1066"/>
      <c r="N99" s="1066"/>
      <c r="O99" s="1067"/>
    </row>
    <row r="100" spans="4:15" ht="13.5" customHeight="1">
      <c r="D100" s="1025"/>
      <c r="E100" s="1026"/>
      <c r="F100" s="1026"/>
      <c r="G100" s="1065"/>
      <c r="H100" s="1066" t="s">
        <v>1921</v>
      </c>
      <c r="I100" s="1066"/>
      <c r="J100" s="1066"/>
      <c r="K100" s="1066"/>
      <c r="L100" s="1066" t="s">
        <v>2194</v>
      </c>
      <c r="M100" s="1066"/>
      <c r="N100" s="1066"/>
      <c r="O100" s="1067"/>
    </row>
    <row r="101" spans="4:15" ht="13.5" customHeight="1">
      <c r="D101" s="1025"/>
      <c r="E101" s="1026"/>
      <c r="F101" s="1026"/>
      <c r="G101" s="1065"/>
      <c r="H101" s="1066" t="s">
        <v>1922</v>
      </c>
      <c r="I101" s="1066"/>
      <c r="J101" s="1066"/>
      <c r="K101" s="1066"/>
      <c r="L101" s="1066" t="s">
        <v>1575</v>
      </c>
      <c r="M101" s="1066"/>
      <c r="N101" s="1066"/>
      <c r="O101" s="1067"/>
    </row>
    <row r="102" spans="4:15" ht="13.5" customHeight="1">
      <c r="D102" s="1025"/>
      <c r="E102" s="1026"/>
      <c r="F102" s="1026"/>
      <c r="G102" s="1065"/>
      <c r="H102" s="1066" t="s">
        <v>107</v>
      </c>
      <c r="I102" s="1066"/>
      <c r="J102" s="1066"/>
      <c r="K102" s="1066"/>
      <c r="L102" s="1066" t="s">
        <v>108</v>
      </c>
      <c r="M102" s="1066"/>
      <c r="N102" s="1066"/>
      <c r="O102" s="1067"/>
    </row>
    <row r="103" spans="4:15" ht="13.5" customHeight="1">
      <c r="D103" s="1025"/>
      <c r="E103" s="1026"/>
      <c r="F103" s="1026"/>
      <c r="G103" s="1065"/>
      <c r="H103" s="1066" t="s">
        <v>109</v>
      </c>
      <c r="I103" s="1066"/>
      <c r="J103" s="1066"/>
      <c r="K103" s="1066"/>
      <c r="L103" s="1066" t="s">
        <v>110</v>
      </c>
      <c r="M103" s="1066"/>
      <c r="N103" s="1066"/>
      <c r="O103" s="1067"/>
    </row>
    <row r="104" spans="4:15" ht="13.5" customHeight="1">
      <c r="D104" s="1025"/>
      <c r="E104" s="1026"/>
      <c r="F104" s="1026"/>
      <c r="G104" s="1065"/>
      <c r="H104" s="2508" t="s">
        <v>1576</v>
      </c>
      <c r="I104" s="1066"/>
      <c r="J104" s="1066"/>
      <c r="K104" s="1066"/>
      <c r="L104" s="1066" t="s">
        <v>111</v>
      </c>
      <c r="M104" s="1066"/>
      <c r="N104" s="1066"/>
      <c r="O104" s="1067"/>
    </row>
    <row r="105" spans="4:15" ht="13.5" customHeight="1">
      <c r="D105" s="1025"/>
      <c r="E105" s="1026"/>
      <c r="F105" s="1026"/>
      <c r="G105" s="1065"/>
      <c r="H105" s="2508" t="s">
        <v>113</v>
      </c>
      <c r="I105" s="1066"/>
      <c r="J105" s="1066"/>
      <c r="K105" s="1066"/>
      <c r="L105" s="1066" t="s">
        <v>112</v>
      </c>
      <c r="M105" s="1066"/>
      <c r="N105" s="1066"/>
      <c r="O105" s="1067"/>
    </row>
    <row r="106" spans="4:15" ht="13.5" customHeight="1">
      <c r="D106" s="1025"/>
      <c r="E106" s="1026"/>
      <c r="F106" s="1026"/>
      <c r="G106" s="1065"/>
      <c r="H106" s="2508" t="s">
        <v>114</v>
      </c>
      <c r="I106" s="1066"/>
      <c r="J106" s="1066"/>
      <c r="K106" s="1066"/>
      <c r="L106" s="2508" t="s">
        <v>1577</v>
      </c>
      <c r="M106" s="1066"/>
      <c r="N106" s="1066"/>
      <c r="O106" s="1067"/>
    </row>
    <row r="107" spans="4:15" ht="13.5" hidden="1" customHeight="1">
      <c r="D107" s="1025"/>
      <c r="E107" s="1026"/>
      <c r="F107" s="1026"/>
      <c r="G107" s="1065"/>
      <c r="H107" s="1066"/>
      <c r="I107" s="1066"/>
      <c r="J107" s="1066"/>
      <c r="K107" s="1066"/>
      <c r="L107" s="1066"/>
      <c r="M107" s="1066"/>
      <c r="N107" s="1066"/>
      <c r="O107" s="1067"/>
    </row>
    <row r="108" spans="4:15" ht="13.5" customHeight="1">
      <c r="D108" s="1025"/>
      <c r="E108" s="1026"/>
      <c r="F108" s="1026"/>
      <c r="G108" s="1076"/>
      <c r="H108" s="1077"/>
      <c r="I108" s="1077"/>
      <c r="J108" s="1077"/>
      <c r="K108" s="1077"/>
      <c r="L108" s="1077" t="s">
        <v>115</v>
      </c>
      <c r="M108" s="1077"/>
      <c r="N108" s="1077"/>
      <c r="O108" s="1078"/>
    </row>
    <row r="109" spans="4:15" ht="13.5" customHeight="1">
      <c r="D109" s="1025"/>
      <c r="E109" s="1026"/>
      <c r="F109" s="1026"/>
      <c r="G109" s="1174" t="s">
        <v>116</v>
      </c>
      <c r="H109" s="1175"/>
      <c r="I109" s="1175"/>
      <c r="J109" s="1175"/>
      <c r="K109" s="1175"/>
      <c r="L109" s="1175"/>
      <c r="M109" s="1175"/>
      <c r="N109" s="1175"/>
      <c r="O109" s="1606"/>
    </row>
    <row r="110" spans="4:15" ht="13.5" customHeight="1">
      <c r="D110" s="1025"/>
      <c r="E110" s="1026"/>
      <c r="F110" s="1026"/>
      <c r="G110" s="1065"/>
      <c r="H110" s="1066" t="s">
        <v>1578</v>
      </c>
      <c r="I110" s="1066"/>
      <c r="J110" s="1066"/>
      <c r="K110" s="1066"/>
      <c r="L110" s="1066" t="s">
        <v>1579</v>
      </c>
      <c r="M110" s="1066"/>
      <c r="N110" s="1066"/>
      <c r="O110" s="1067"/>
    </row>
    <row r="111" spans="4:15" ht="13.5" customHeight="1">
      <c r="D111" s="1025"/>
      <c r="E111" s="1026"/>
      <c r="F111" s="1026"/>
      <c r="G111" s="1076"/>
      <c r="H111" s="1077" t="s">
        <v>1580</v>
      </c>
      <c r="I111" s="1077"/>
      <c r="J111" s="1077"/>
      <c r="K111" s="1077"/>
      <c r="L111" s="1077"/>
      <c r="M111" s="1077"/>
      <c r="N111" s="1077"/>
      <c r="O111" s="1078"/>
    </row>
    <row r="112" spans="4:15" ht="13.5" customHeight="1">
      <c r="D112" s="1025"/>
      <c r="E112" s="1026"/>
      <c r="F112" s="1026"/>
      <c r="G112" s="1174" t="s">
        <v>1581</v>
      </c>
      <c r="H112" s="1175"/>
      <c r="I112" s="1175"/>
      <c r="J112" s="1175"/>
      <c r="K112" s="1175"/>
      <c r="L112" s="1175"/>
      <c r="M112" s="1175"/>
      <c r="N112" s="1175"/>
      <c r="O112" s="1606"/>
    </row>
    <row r="113" spans="4:15" ht="13.5" customHeight="1">
      <c r="D113" s="1025"/>
      <c r="E113" s="1026"/>
      <c r="F113" s="1026"/>
      <c r="G113" s="1076"/>
      <c r="H113" s="1077" t="s">
        <v>117</v>
      </c>
      <c r="I113" s="1077"/>
      <c r="J113" s="1077"/>
      <c r="K113" s="1077"/>
      <c r="L113" s="1077"/>
      <c r="M113" s="1077"/>
      <c r="N113" s="1077"/>
      <c r="O113" s="1078"/>
    </row>
    <row r="114" spans="4:15" ht="13.5" customHeight="1">
      <c r="D114" s="1025"/>
      <c r="E114" s="1026"/>
      <c r="F114" s="1026"/>
      <c r="G114" s="1174" t="s">
        <v>1582</v>
      </c>
      <c r="H114" s="1175"/>
      <c r="I114" s="1175"/>
      <c r="J114" s="1175"/>
      <c r="K114" s="1175"/>
      <c r="L114" s="1175"/>
      <c r="M114" s="1175"/>
      <c r="N114" s="1175"/>
      <c r="O114" s="1606"/>
    </row>
    <row r="115" spans="4:15" ht="13.5" customHeight="1">
      <c r="D115" s="1025"/>
      <c r="E115" s="1026"/>
      <c r="F115" s="1026"/>
      <c r="G115" s="1065"/>
      <c r="H115" s="1066" t="s">
        <v>1583</v>
      </c>
      <c r="I115" s="1066"/>
      <c r="J115" s="1066"/>
      <c r="K115" s="1066"/>
      <c r="L115" s="1066" t="s">
        <v>1584</v>
      </c>
      <c r="M115" s="1066"/>
      <c r="N115" s="1066"/>
      <c r="O115" s="1067"/>
    </row>
    <row r="116" spans="4:15" ht="13.5" customHeight="1">
      <c r="D116" s="1025"/>
      <c r="E116" s="1026"/>
      <c r="F116" s="1026"/>
      <c r="G116" s="1065"/>
      <c r="H116" s="1066" t="s">
        <v>1585</v>
      </c>
      <c r="I116" s="1066"/>
      <c r="J116" s="1066"/>
      <c r="K116" s="1066"/>
      <c r="L116" s="1066" t="s">
        <v>1586</v>
      </c>
      <c r="M116" s="1066"/>
      <c r="N116" s="1066"/>
      <c r="O116" s="1067"/>
    </row>
    <row r="117" spans="4:15" ht="13.5" customHeight="1">
      <c r="D117" s="1025"/>
      <c r="E117" s="1026"/>
      <c r="F117" s="1026"/>
      <c r="G117" s="1065"/>
      <c r="H117" s="1066" t="s">
        <v>1587</v>
      </c>
      <c r="I117" s="1066"/>
      <c r="J117" s="1066"/>
      <c r="K117" s="1066"/>
      <c r="L117" s="1066" t="s">
        <v>1588</v>
      </c>
      <c r="M117" s="1066"/>
      <c r="N117" s="1066"/>
      <c r="O117" s="1067"/>
    </row>
    <row r="118" spans="4:15" ht="13.5" customHeight="1">
      <c r="D118" s="1025"/>
      <c r="E118" s="1026"/>
      <c r="F118" s="1026"/>
      <c r="G118" s="1065"/>
      <c r="H118" s="1066" t="s">
        <v>1589</v>
      </c>
      <c r="I118" s="1066"/>
      <c r="J118" s="1066"/>
      <c r="K118" s="1066"/>
      <c r="L118" s="1066" t="s">
        <v>1590</v>
      </c>
      <c r="M118" s="1066"/>
      <c r="N118" s="1066"/>
      <c r="O118" s="1067"/>
    </row>
    <row r="119" spans="4:15" ht="13.5" customHeight="1">
      <c r="D119" s="1025"/>
      <c r="E119" s="1026"/>
      <c r="F119" s="1026"/>
      <c r="G119" s="1065"/>
      <c r="H119" s="1066" t="s">
        <v>1591</v>
      </c>
      <c r="I119" s="1066"/>
      <c r="J119" s="1066"/>
      <c r="K119" s="1066"/>
      <c r="L119" s="1066" t="s">
        <v>1592</v>
      </c>
      <c r="M119" s="1066"/>
      <c r="N119" s="1066"/>
      <c r="O119" s="1067"/>
    </row>
    <row r="120" spans="4:15" ht="13.5" customHeight="1">
      <c r="D120" s="1025"/>
      <c r="E120" s="1026"/>
      <c r="F120" s="1026"/>
      <c r="G120" s="1065"/>
      <c r="H120" s="1066" t="s">
        <v>118</v>
      </c>
      <c r="I120" s="1066"/>
      <c r="J120" s="1066"/>
      <c r="K120" s="1066"/>
      <c r="L120" s="1066" t="s">
        <v>3189</v>
      </c>
      <c r="M120" s="1066"/>
      <c r="N120" s="1066"/>
      <c r="O120" s="1067"/>
    </row>
    <row r="121" spans="4:15" ht="13.5" customHeight="1">
      <c r="D121" s="1025"/>
      <c r="E121" s="1026"/>
      <c r="F121" s="1026"/>
      <c r="G121" s="1076"/>
      <c r="H121" s="1077" t="s">
        <v>1593</v>
      </c>
      <c r="I121" s="1077"/>
      <c r="J121" s="1077"/>
      <c r="K121" s="1077"/>
      <c r="L121" s="1077"/>
      <c r="M121" s="1077"/>
      <c r="N121" s="1077"/>
      <c r="O121" s="1078"/>
    </row>
    <row r="122" spans="4:15" ht="13.5" customHeight="1">
      <c r="D122" s="1025"/>
      <c r="E122" s="1026"/>
      <c r="F122" s="1026"/>
      <c r="G122" s="1174" t="s">
        <v>1594</v>
      </c>
      <c r="H122" s="1175"/>
      <c r="I122" s="1175"/>
      <c r="J122" s="1175"/>
      <c r="K122" s="1175"/>
      <c r="L122" s="1175"/>
      <c r="M122" s="1175"/>
      <c r="N122" s="1175"/>
      <c r="O122" s="1606"/>
    </row>
    <row r="123" spans="4:15" ht="13.5" customHeight="1">
      <c r="D123" s="1025"/>
      <c r="E123" s="1026"/>
      <c r="F123" s="1026"/>
      <c r="G123" s="1065"/>
      <c r="H123" s="1066" t="s">
        <v>1595</v>
      </c>
      <c r="I123" s="1066"/>
      <c r="J123" s="1066"/>
      <c r="K123" s="1066"/>
      <c r="L123" s="1066" t="s">
        <v>1596</v>
      </c>
      <c r="M123" s="1066"/>
      <c r="N123" s="1066"/>
      <c r="O123" s="1067"/>
    </row>
    <row r="124" spans="4:15" ht="13.5" customHeight="1">
      <c r="D124" s="1025"/>
      <c r="E124" s="1026"/>
      <c r="F124" s="1026"/>
      <c r="G124" s="1065"/>
      <c r="H124" s="1066" t="s">
        <v>1597</v>
      </c>
      <c r="I124" s="1066"/>
      <c r="J124" s="1066"/>
      <c r="K124" s="1066"/>
      <c r="L124" s="1066" t="s">
        <v>1598</v>
      </c>
      <c r="M124" s="1066"/>
      <c r="N124" s="1066"/>
      <c r="O124" s="1067"/>
    </row>
    <row r="125" spans="4:15" ht="13.5" customHeight="1">
      <c r="D125" s="1025"/>
      <c r="E125" s="1026"/>
      <c r="F125" s="1026"/>
      <c r="G125" s="1065"/>
      <c r="H125" s="1066" t="s">
        <v>1599</v>
      </c>
      <c r="I125" s="1066"/>
      <c r="J125" s="1066"/>
      <c r="K125" s="1066"/>
      <c r="L125" s="1066" t="s">
        <v>1600</v>
      </c>
      <c r="M125" s="1066"/>
      <c r="N125" s="1066"/>
      <c r="O125" s="1067"/>
    </row>
    <row r="126" spans="4:15" ht="13.5" customHeight="1">
      <c r="D126" s="1025"/>
      <c r="E126" s="1026"/>
      <c r="F126" s="1026"/>
      <c r="G126" s="1065"/>
      <c r="H126" s="1066" t="s">
        <v>1601</v>
      </c>
      <c r="I126" s="1066"/>
      <c r="J126" s="1066"/>
      <c r="K126" s="1066"/>
      <c r="L126" s="1066" t="s">
        <v>1602</v>
      </c>
      <c r="M126" s="1066"/>
      <c r="N126" s="1066"/>
      <c r="O126" s="1067"/>
    </row>
    <row r="127" spans="4:15" ht="13.5" customHeight="1">
      <c r="D127" s="1025"/>
      <c r="E127" s="1026"/>
      <c r="F127" s="1026"/>
      <c r="G127" s="1065"/>
      <c r="H127" s="1066" t="s">
        <v>1603</v>
      </c>
      <c r="I127" s="1066"/>
      <c r="J127" s="1066"/>
      <c r="K127" s="1066"/>
      <c r="L127" s="1066" t="s">
        <v>1604</v>
      </c>
      <c r="M127" s="1066"/>
      <c r="N127" s="1066"/>
      <c r="O127" s="1067"/>
    </row>
    <row r="128" spans="4:15" ht="13.5" customHeight="1">
      <c r="D128" s="1025"/>
      <c r="E128" s="1026"/>
      <c r="F128" s="1026"/>
      <c r="G128" s="1216"/>
      <c r="H128" s="1217" t="s">
        <v>119</v>
      </c>
      <c r="I128" s="1217"/>
      <c r="J128" s="1217"/>
      <c r="K128" s="1217"/>
      <c r="L128" s="1066" t="s">
        <v>120</v>
      </c>
      <c r="M128" s="1217"/>
      <c r="N128" s="1217"/>
      <c r="O128" s="1218"/>
    </row>
    <row r="129" spans="2:15" ht="13.5" customHeight="1">
      <c r="D129" s="1025"/>
      <c r="E129" s="1026"/>
      <c r="F129" s="1026"/>
      <c r="G129" s="1076"/>
      <c r="H129" s="1077"/>
      <c r="I129" s="1077"/>
      <c r="J129" s="1077"/>
      <c r="K129" s="1077"/>
      <c r="L129" s="1077" t="s">
        <v>1605</v>
      </c>
      <c r="M129" s="1077"/>
      <c r="N129" s="1077"/>
      <c r="O129" s="1078"/>
    </row>
    <row r="130" spans="2:15" ht="13.5" customHeight="1">
      <c r="D130" s="1025"/>
      <c r="E130" s="1026"/>
      <c r="F130" s="1026"/>
      <c r="G130" s="1174" t="s">
        <v>1606</v>
      </c>
      <c r="H130" s="1175"/>
      <c r="I130" s="1175"/>
      <c r="J130" s="1175"/>
      <c r="K130" s="1175"/>
      <c r="L130" s="1175"/>
      <c r="M130" s="1175"/>
      <c r="N130" s="1175"/>
      <c r="O130" s="1606"/>
    </row>
    <row r="131" spans="2:15" ht="13.5" customHeight="1">
      <c r="D131" s="1025"/>
      <c r="E131" s="1026"/>
      <c r="F131" s="1026"/>
      <c r="G131" s="1065"/>
      <c r="H131" s="1066" t="s">
        <v>1607</v>
      </c>
      <c r="I131" s="1066"/>
      <c r="J131" s="1066"/>
      <c r="K131" s="1066"/>
      <c r="L131" s="1066" t="s">
        <v>1608</v>
      </c>
      <c r="M131" s="1066"/>
      <c r="N131" s="1066"/>
      <c r="O131" s="1067"/>
    </row>
    <row r="132" spans="2:15" ht="13.5" customHeight="1">
      <c r="D132" s="1025"/>
      <c r="E132" s="1026"/>
      <c r="F132" s="1026"/>
      <c r="G132" s="1065"/>
      <c r="H132" s="1066" t="s">
        <v>1609</v>
      </c>
      <c r="I132" s="1066"/>
      <c r="J132" s="1066"/>
      <c r="K132" s="1066"/>
      <c r="L132" s="1066" t="s">
        <v>1610</v>
      </c>
      <c r="M132" s="1066"/>
      <c r="N132" s="1066"/>
      <c r="O132" s="1067"/>
    </row>
    <row r="133" spans="2:15" ht="13.5" customHeight="1">
      <c r="D133" s="1025"/>
      <c r="E133" s="1026"/>
      <c r="F133" s="1026"/>
      <c r="G133" s="1076"/>
      <c r="H133" s="1077" t="s">
        <v>1611</v>
      </c>
      <c r="I133" s="1077"/>
      <c r="J133" s="1077"/>
      <c r="K133" s="1077"/>
      <c r="L133" s="1077"/>
      <c r="M133" s="1077"/>
      <c r="N133" s="1077"/>
      <c r="O133" s="1078"/>
    </row>
    <row r="134" spans="2:15" ht="13.5" customHeight="1">
      <c r="D134" s="1025"/>
      <c r="E134" s="1026"/>
      <c r="F134" s="1026"/>
      <c r="G134" s="1174" t="s">
        <v>1612</v>
      </c>
      <c r="H134" s="1175"/>
      <c r="I134" s="1175"/>
      <c r="J134" s="1175"/>
      <c r="K134" s="1175"/>
      <c r="L134" s="1175"/>
      <c r="M134" s="1175"/>
      <c r="N134" s="1175"/>
      <c r="O134" s="1606"/>
    </row>
    <row r="135" spans="2:15" ht="13.5" customHeight="1">
      <c r="D135" s="1025"/>
      <c r="E135" s="1026"/>
      <c r="F135" s="1026"/>
      <c r="G135" s="1065"/>
      <c r="H135" s="1066" t="s">
        <v>1613</v>
      </c>
      <c r="I135" s="1066"/>
      <c r="J135" s="1066"/>
      <c r="K135" s="1066"/>
      <c r="L135" s="1066" t="s">
        <v>1614</v>
      </c>
      <c r="M135" s="1066"/>
      <c r="N135" s="1066"/>
      <c r="O135" s="1067"/>
    </row>
    <row r="136" spans="2:15" ht="13.5" customHeight="1">
      <c r="D136" s="1025"/>
      <c r="E136" s="1026"/>
      <c r="F136" s="1026"/>
      <c r="G136" s="1076"/>
      <c r="H136" s="1077" t="s">
        <v>1615</v>
      </c>
      <c r="I136" s="1077"/>
      <c r="J136" s="1077"/>
      <c r="K136" s="1077"/>
      <c r="L136" s="1077"/>
      <c r="M136" s="1077"/>
      <c r="N136" s="1077"/>
      <c r="O136" s="1078"/>
    </row>
    <row r="137" spans="2:15" s="2716" customFormat="1" ht="13.5" customHeight="1">
      <c r="D137" s="1025"/>
      <c r="E137" s="1026"/>
      <c r="F137" s="1026"/>
      <c r="G137" s="1677" t="s">
        <v>3401</v>
      </c>
      <c r="H137" s="1678"/>
      <c r="I137" s="1678"/>
      <c r="J137" s="1678"/>
      <c r="K137" s="1678"/>
      <c r="L137" s="1678"/>
      <c r="M137" s="1678"/>
      <c r="N137" s="1678"/>
      <c r="O137" s="1679"/>
    </row>
    <row r="138" spans="2:15" ht="13.5" customHeight="1">
      <c r="D138" s="1025"/>
      <c r="E138" s="1026"/>
      <c r="F138" s="1026"/>
      <c r="G138" s="1598" t="s">
        <v>6</v>
      </c>
      <c r="H138" s="144"/>
      <c r="I138" s="144"/>
      <c r="J138" s="144"/>
      <c r="K138" s="144"/>
      <c r="L138" s="144"/>
      <c r="M138" s="144"/>
      <c r="N138" s="144"/>
      <c r="O138" s="144"/>
    </row>
    <row r="139" spans="2:15" ht="13.5" customHeight="1">
      <c r="D139" s="1025"/>
      <c r="E139" s="1026"/>
      <c r="F139" s="1026"/>
      <c r="G139" s="1598" t="s">
        <v>121</v>
      </c>
      <c r="H139" s="144"/>
      <c r="I139" s="144"/>
      <c r="J139" s="144"/>
      <c r="K139" s="144"/>
      <c r="L139" s="144"/>
      <c r="M139" s="144"/>
      <c r="N139" s="144"/>
      <c r="O139" s="144"/>
    </row>
    <row r="140" spans="2:15" ht="13.5" customHeight="1">
      <c r="D140" s="1025"/>
      <c r="E140" s="1026"/>
      <c r="F140" s="1026"/>
      <c r="G140" s="1598" t="s">
        <v>105</v>
      </c>
      <c r="H140" s="144"/>
      <c r="I140" s="144"/>
      <c r="J140" s="144"/>
      <c r="K140" s="144"/>
      <c r="L140" s="144"/>
      <c r="M140" s="144"/>
      <c r="N140" s="144"/>
      <c r="O140" s="144"/>
    </row>
    <row r="141" spans="2:15" ht="14.25" customHeight="1">
      <c r="D141" s="1025"/>
      <c r="E141" s="1179"/>
      <c r="L141" s="2215"/>
    </row>
    <row r="142" spans="2:15" ht="23.25" customHeight="1">
      <c r="D142" s="1465">
        <v>2.5</v>
      </c>
      <c r="E142" s="1032" t="s">
        <v>1616</v>
      </c>
      <c r="F142" s="1032"/>
      <c r="G142" s="1607"/>
      <c r="H142" s="1352"/>
      <c r="I142" s="1352"/>
      <c r="J142" s="1352"/>
      <c r="K142" s="1352"/>
      <c r="L142" s="1608"/>
      <c r="M142" s="1608"/>
      <c r="N142" s="1608"/>
      <c r="O142" s="1608"/>
    </row>
    <row r="143" spans="2:15" ht="14.25" customHeight="1" thickBot="1">
      <c r="D143" s="1538"/>
      <c r="E143" s="1538"/>
      <c r="F143" s="1185"/>
      <c r="G143" s="1043"/>
      <c r="H143" s="1044"/>
      <c r="I143" s="1045" t="s">
        <v>1484</v>
      </c>
      <c r="J143" s="1046">
        <f>重み!M151</f>
        <v>0.1</v>
      </c>
      <c r="K143" s="1186"/>
      <c r="L143" s="1186"/>
      <c r="M143" s="1186"/>
      <c r="N143" s="1186"/>
      <c r="O143" s="1055"/>
    </row>
    <row r="144" spans="2:15" ht="16.5" thickBot="1">
      <c r="B144" s="1332" t="s">
        <v>629</v>
      </c>
      <c r="D144" s="1025"/>
      <c r="E144" s="1181"/>
      <c r="F144" s="1049">
        <v>3</v>
      </c>
      <c r="G144" s="1166" t="s">
        <v>556</v>
      </c>
      <c r="H144" s="1054"/>
      <c r="I144" s="1054"/>
      <c r="J144" s="1054"/>
      <c r="K144" s="1054"/>
      <c r="L144" s="1389"/>
      <c r="M144" s="1054"/>
      <c r="N144" s="1166" t="s">
        <v>1440</v>
      </c>
      <c r="O144" s="1055"/>
    </row>
    <row r="145" spans="2:15" ht="18" customHeight="1">
      <c r="B145" s="1" t="s">
        <v>3105</v>
      </c>
      <c r="C145" s="1">
        <v>1</v>
      </c>
      <c r="D145" s="1025"/>
      <c r="E145" s="1181"/>
      <c r="F145" s="1056" t="str">
        <f>IF(F144=$S$16,$T$10,IF(ROUNDDOWN(F144,0)=$S$10,$U$10,$T$10))</f>
        <v>　レベル　1</v>
      </c>
      <c r="G145" s="1058" t="s">
        <v>2365</v>
      </c>
      <c r="H145" s="1059"/>
      <c r="I145" s="1059"/>
      <c r="J145" s="1059"/>
      <c r="K145" s="1059"/>
      <c r="L145" s="1390"/>
      <c r="M145" s="1059"/>
      <c r="N145" s="2959" t="s">
        <v>2162</v>
      </c>
      <c r="O145" s="3189"/>
    </row>
    <row r="146" spans="2:15" ht="18" customHeight="1">
      <c r="B146" s="1">
        <v>2</v>
      </c>
      <c r="C146" s="1">
        <v>2</v>
      </c>
      <c r="D146" s="1025"/>
      <c r="E146" s="1181"/>
      <c r="F146" s="1061" t="str">
        <f>IF(F144=$S$16,$T$11,IF(ROUNDDOWN(F144,0)=$S$11,$U$11,$T$11))</f>
        <v>　レベル　2</v>
      </c>
      <c r="G146" s="1065" t="s">
        <v>2163</v>
      </c>
      <c r="H146" s="1066"/>
      <c r="I146" s="1066"/>
      <c r="J146" s="1066"/>
      <c r="K146" s="1066"/>
      <c r="L146" s="1391"/>
      <c r="M146" s="1066"/>
      <c r="N146" s="3190"/>
      <c r="O146" s="3191"/>
    </row>
    <row r="147" spans="2:15" ht="18" customHeight="1">
      <c r="B147" s="1">
        <v>3</v>
      </c>
      <c r="C147" s="1">
        <v>3</v>
      </c>
      <c r="D147" s="1025"/>
      <c r="E147" s="1181"/>
      <c r="F147" s="1061" t="str">
        <f>IF(F144=$S$16,$T$12,IF(ROUNDDOWN(F144,0)=$S$12,$U$12,$T$12))</f>
        <v>■レベル　3</v>
      </c>
      <c r="G147" s="1065" t="s">
        <v>2164</v>
      </c>
      <c r="H147" s="1066"/>
      <c r="I147" s="1066"/>
      <c r="J147" s="1066"/>
      <c r="K147" s="1066"/>
      <c r="L147" s="1391"/>
      <c r="M147" s="1066"/>
      <c r="N147" s="3190"/>
      <c r="O147" s="3191"/>
    </row>
    <row r="148" spans="2:15" ht="18" customHeight="1">
      <c r="B148" s="1">
        <v>4</v>
      </c>
      <c r="C148" s="1">
        <v>4</v>
      </c>
      <c r="D148" s="1025"/>
      <c r="E148" s="1181"/>
      <c r="F148" s="1061" t="str">
        <f>IF(F144=$S$16,$T$13,IF(ROUNDDOWN(F144,0)=$S$13,$U$13,$T$13))</f>
        <v>　レベル　4</v>
      </c>
      <c r="G148" s="1065" t="s">
        <v>1617</v>
      </c>
      <c r="H148" s="1066"/>
      <c r="I148" s="1066"/>
      <c r="J148" s="1066"/>
      <c r="K148" s="1066"/>
      <c r="L148" s="1391"/>
      <c r="M148" s="1066"/>
      <c r="N148" s="3190"/>
      <c r="O148" s="3191"/>
    </row>
    <row r="149" spans="2:15" ht="18" customHeight="1">
      <c r="B149" s="1">
        <v>5</v>
      </c>
      <c r="C149" s="1">
        <v>5</v>
      </c>
      <c r="D149" s="1025"/>
      <c r="E149" s="1181"/>
      <c r="F149" s="1072" t="str">
        <f>IF(F144=$S$16,$T$14,IF(ROUNDDOWN(F144,0)=$S$14,$U$14,$T$14))</f>
        <v>　レベル　5</v>
      </c>
      <c r="G149" s="1076" t="s">
        <v>1618</v>
      </c>
      <c r="H149" s="1077"/>
      <c r="I149" s="1077"/>
      <c r="J149" s="1077"/>
      <c r="K149" s="1077"/>
      <c r="L149" s="1392"/>
      <c r="M149" s="1077"/>
      <c r="N149" s="3192"/>
      <c r="O149" s="3193"/>
    </row>
    <row r="150" spans="2:15" ht="14.25" customHeight="1">
      <c r="B150" s="1079">
        <v>0</v>
      </c>
      <c r="C150" s="1079">
        <v>0</v>
      </c>
      <c r="D150" s="1025"/>
      <c r="E150" s="1179"/>
      <c r="F150" s="1352"/>
      <c r="G150" s="1352"/>
      <c r="H150" s="1352"/>
      <c r="I150" s="1352"/>
      <c r="J150" s="1352"/>
      <c r="K150" s="1352"/>
      <c r="L150" s="1608"/>
      <c r="M150" s="1608"/>
      <c r="N150" s="1608"/>
      <c r="O150" s="1608"/>
    </row>
    <row r="151" spans="2:15" ht="14.25" customHeight="1">
      <c r="D151" s="1465">
        <v>2.6</v>
      </c>
      <c r="E151" s="1032" t="s">
        <v>1619</v>
      </c>
      <c r="F151" s="1032"/>
      <c r="G151" s="1352"/>
      <c r="H151" s="1352"/>
      <c r="I151" s="1352"/>
      <c r="J151" s="1352"/>
      <c r="K151" s="1352"/>
      <c r="L151" s="1608"/>
      <c r="M151" s="1608"/>
      <c r="N151" s="1608"/>
      <c r="O151" s="1608"/>
    </row>
    <row r="152" spans="2:15" ht="15" thickBot="1">
      <c r="D152" s="1609"/>
      <c r="E152" s="1609"/>
      <c r="F152" s="1185"/>
      <c r="G152" s="1043"/>
      <c r="H152" s="1044"/>
      <c r="I152" s="1045" t="s">
        <v>1484</v>
      </c>
      <c r="J152" s="1046">
        <f>重み!M152</f>
        <v>0.2</v>
      </c>
      <c r="K152" s="1186"/>
      <c r="L152" s="1186"/>
      <c r="M152" s="1186"/>
      <c r="N152" s="1186"/>
      <c r="O152" s="1055"/>
    </row>
    <row r="153" spans="2:15" ht="16.5" thickBot="1">
      <c r="D153" s="1025"/>
      <c r="E153" s="1181"/>
      <c r="F153" s="1421">
        <f>IF(COUNTIF(G161:G164,"○")&lt;1,3,IF(COUNTIF(G161:G164,"○")=1,4,IF(COUNTIF(G161:G164,"○")&gt;=2,5)))</f>
        <v>3</v>
      </c>
      <c r="G153" s="1053" t="s">
        <v>556</v>
      </c>
      <c r="H153" s="1054"/>
      <c r="I153" s="1054"/>
      <c r="J153" s="1054"/>
      <c r="K153" s="1054"/>
      <c r="L153" s="1389"/>
      <c r="M153" s="1054"/>
      <c r="N153" s="1054"/>
      <c r="O153" s="1055"/>
    </row>
    <row r="154" spans="2:15" ht="19.5" customHeight="1">
      <c r="D154" s="1025"/>
      <c r="E154" s="1181"/>
      <c r="F154" s="1056" t="str">
        <f>IF(F153=$S$16,$T$10,IF(ROUNDDOWN(F153,0)=$S$10,$U$10,$T$10))</f>
        <v>　レベル　1</v>
      </c>
      <c r="G154" s="1058" t="s">
        <v>2365</v>
      </c>
      <c r="H154" s="1059"/>
      <c r="I154" s="1059"/>
      <c r="J154" s="1059"/>
      <c r="K154" s="1059"/>
      <c r="L154" s="1390"/>
      <c r="M154" s="1059"/>
      <c r="N154" s="1059"/>
      <c r="O154" s="1060"/>
    </row>
    <row r="155" spans="2:15" ht="19.5" customHeight="1">
      <c r="D155" s="1025"/>
      <c r="E155" s="1181"/>
      <c r="F155" s="1061" t="str">
        <f>IF(F153=$S$16,$T$11,IF(ROUNDDOWN(F153,0)=$S$11,$U$11,$T$11))</f>
        <v>　レベル　2</v>
      </c>
      <c r="G155" s="1065" t="s">
        <v>2365</v>
      </c>
      <c r="H155" s="1066"/>
      <c r="I155" s="1066"/>
      <c r="J155" s="1066"/>
      <c r="K155" s="1066"/>
      <c r="L155" s="1391"/>
      <c r="M155" s="1066"/>
      <c r="N155" s="1066"/>
      <c r="O155" s="1067"/>
    </row>
    <row r="156" spans="2:15" ht="19.5" customHeight="1">
      <c r="D156" s="1025"/>
      <c r="E156" s="1181"/>
      <c r="F156" s="1061" t="str">
        <f>IF(F153=$S$16,$T$12,IF(ROUNDDOWN(F153,0)=$S$12,$U$12,$T$12))</f>
        <v>■レベル　3</v>
      </c>
      <c r="G156" s="1065" t="s">
        <v>1620</v>
      </c>
      <c r="H156" s="1066"/>
      <c r="I156" s="1066"/>
      <c r="J156" s="1066"/>
      <c r="K156" s="1066"/>
      <c r="L156" s="1391"/>
      <c r="M156" s="1066"/>
      <c r="N156" s="1066"/>
      <c r="O156" s="1067"/>
    </row>
    <row r="157" spans="2:15" ht="19.5" customHeight="1">
      <c r="D157" s="1025"/>
      <c r="E157" s="1181"/>
      <c r="F157" s="1061" t="str">
        <f>IF(F153=$S$16,$T$13,IF(ROUNDDOWN(F153,0)=$S$13,$U$13,$T$13))</f>
        <v>　レベル　4</v>
      </c>
      <c r="G157" s="1065" t="s">
        <v>1621</v>
      </c>
      <c r="H157" s="1066"/>
      <c r="I157" s="1066"/>
      <c r="J157" s="1066"/>
      <c r="K157" s="1066"/>
      <c r="L157" s="1391"/>
      <c r="M157" s="1066"/>
      <c r="N157" s="1066"/>
      <c r="O157" s="1067"/>
    </row>
    <row r="158" spans="2:15" ht="19.5" customHeight="1" thickBot="1">
      <c r="D158" s="1025"/>
      <c r="E158" s="1181"/>
      <c r="F158" s="1072" t="str">
        <f>IF(F153=$S$16,$T$14,IF(ROUNDDOWN(F153,0)=$S$14,$U$14,$T$14))</f>
        <v>　レベル　5</v>
      </c>
      <c r="G158" s="1076" t="s">
        <v>1622</v>
      </c>
      <c r="H158" s="1077"/>
      <c r="I158" s="1077"/>
      <c r="J158" s="1077"/>
      <c r="K158" s="1077"/>
      <c r="L158" s="1392"/>
      <c r="M158" s="1077"/>
      <c r="N158" s="1077"/>
      <c r="O158" s="1078"/>
    </row>
    <row r="159" spans="2:15" ht="17.25" customHeight="1" thickBot="1">
      <c r="D159" s="1025"/>
      <c r="E159" s="1179"/>
      <c r="F159" s="1352"/>
      <c r="G159" s="1423" t="s">
        <v>466</v>
      </c>
      <c r="H159" s="1030"/>
      <c r="I159" s="1030"/>
      <c r="J159" s="1610" t="s">
        <v>530</v>
      </c>
      <c r="K159" s="1611">
        <f>COUNTIF(G161:G164,"○")</f>
        <v>0</v>
      </c>
      <c r="L159" s="1413" t="s">
        <v>2347</v>
      </c>
      <c r="M159" s="1030"/>
      <c r="N159" s="1033"/>
      <c r="O159" s="1033"/>
    </row>
    <row r="160" spans="2:15" ht="12.75" customHeight="1" thickBot="1">
      <c r="D160" s="1025"/>
      <c r="E160" s="1179"/>
      <c r="F160" s="1352"/>
      <c r="G160" s="1490" t="s">
        <v>1279</v>
      </c>
      <c r="H160" s="1480" t="s">
        <v>1870</v>
      </c>
      <c r="I160" s="2217"/>
      <c r="J160" s="2217"/>
      <c r="K160" s="2218"/>
      <c r="L160" s="2219"/>
      <c r="M160" s="2217"/>
      <c r="N160" s="2217"/>
      <c r="O160" s="1612"/>
    </row>
    <row r="161" spans="4:15" ht="15.75">
      <c r="D161" s="1025"/>
      <c r="E161" s="1179"/>
      <c r="F161" s="1352"/>
      <c r="G161" s="1371" t="s">
        <v>2923</v>
      </c>
      <c r="H161" s="1387" t="s">
        <v>1623</v>
      </c>
      <c r="I161" s="2217"/>
      <c r="J161" s="2217"/>
      <c r="K161" s="2217"/>
      <c r="L161" s="2219"/>
      <c r="M161" s="2217"/>
      <c r="N161" s="2217"/>
      <c r="O161" s="2220"/>
    </row>
    <row r="162" spans="4:15" ht="15.75">
      <c r="D162" s="1025"/>
      <c r="E162" s="1179"/>
      <c r="F162" s="1352"/>
      <c r="G162" s="1374" t="s">
        <v>2923</v>
      </c>
      <c r="H162" s="1329" t="s">
        <v>223</v>
      </c>
      <c r="I162" s="2221"/>
      <c r="J162" s="2221"/>
      <c r="K162" s="2221"/>
      <c r="L162" s="2222"/>
      <c r="M162" s="2221"/>
      <c r="N162" s="2221"/>
      <c r="O162" s="2223"/>
    </row>
    <row r="163" spans="4:15" ht="15.75">
      <c r="D163" s="1025"/>
      <c r="E163" s="1179"/>
      <c r="F163" s="1352"/>
      <c r="G163" s="2297"/>
      <c r="H163" s="2304" t="s">
        <v>68</v>
      </c>
      <c r="I163" s="2305"/>
      <c r="J163" s="2305"/>
      <c r="K163" s="2305"/>
      <c r="L163" s="2306"/>
      <c r="M163" s="2305"/>
      <c r="N163" s="2305"/>
      <c r="O163" s="2307"/>
    </row>
    <row r="164" spans="4:15" ht="16.5" thickBot="1">
      <c r="D164" s="1025"/>
      <c r="E164" s="1179"/>
      <c r="F164" s="1352"/>
      <c r="G164" s="1497" t="s">
        <v>2923</v>
      </c>
      <c r="H164" s="1298" t="s">
        <v>69</v>
      </c>
      <c r="I164" s="2224"/>
      <c r="J164" s="2224"/>
      <c r="K164" s="2224"/>
      <c r="L164" s="2225"/>
      <c r="M164" s="2224"/>
      <c r="N164" s="2224"/>
      <c r="O164" s="2226"/>
    </row>
    <row r="165" spans="4:15" ht="15.75">
      <c r="D165" s="1025"/>
      <c r="E165" s="1025"/>
      <c r="F165" s="1025"/>
      <c r="G165" s="1025"/>
      <c r="H165" s="1025"/>
      <c r="I165" s="1025"/>
      <c r="J165" s="1025"/>
      <c r="K165" s="1025"/>
      <c r="L165" s="1602"/>
      <c r="M165" s="1025"/>
      <c r="N165" s="1025"/>
      <c r="O165" s="1025"/>
    </row>
    <row r="166" spans="4:15" ht="15.75">
      <c r="D166" s="1025">
        <v>3</v>
      </c>
      <c r="E166" s="1162" t="s">
        <v>1402</v>
      </c>
      <c r="F166" s="1025"/>
      <c r="G166" s="1025"/>
      <c r="H166" s="1025"/>
      <c r="I166" s="1025"/>
      <c r="J166" s="1025"/>
      <c r="K166" s="1025"/>
      <c r="L166" s="1602"/>
      <c r="M166" s="1025"/>
      <c r="N166" s="1025"/>
      <c r="O166" s="1025"/>
    </row>
    <row r="167" spans="4:15" ht="15.75">
      <c r="D167" s="1465">
        <v>3.1</v>
      </c>
      <c r="E167" s="1032" t="s">
        <v>1403</v>
      </c>
      <c r="F167" s="1032"/>
      <c r="G167" s="1025"/>
      <c r="H167" s="1025"/>
      <c r="I167" s="1025"/>
      <c r="J167" s="1025"/>
      <c r="K167" s="1025"/>
      <c r="L167" s="1602"/>
      <c r="M167" s="1025"/>
      <c r="N167" s="1025"/>
      <c r="O167" s="1025"/>
    </row>
    <row r="168" spans="4:15" ht="13.5" customHeight="1" thickBot="1">
      <c r="D168" s="1538"/>
      <c r="E168" s="1538"/>
      <c r="F168" s="1185"/>
      <c r="G168" s="1043"/>
      <c r="H168" s="1044"/>
      <c r="I168" s="1045" t="s">
        <v>1484</v>
      </c>
      <c r="J168" s="1046">
        <f>重み!M154</f>
        <v>0.3</v>
      </c>
      <c r="K168" s="1186"/>
      <c r="L168" s="1186"/>
      <c r="M168" s="1186"/>
      <c r="N168" s="1186"/>
      <c r="O168" s="1055"/>
    </row>
    <row r="169" spans="4:15" ht="27.75" customHeight="1" thickBot="1">
      <c r="D169" s="1025"/>
      <c r="E169" s="1181"/>
      <c r="F169" s="1421">
        <f>IF(K175=0,3,IF(K175=1,4,IF(K175=2,4,IF(K175=3,4,IF(K175&gt;=4,5)))))</f>
        <v>3</v>
      </c>
      <c r="G169" s="1053" t="s">
        <v>556</v>
      </c>
      <c r="H169" s="1054"/>
      <c r="I169" s="1054"/>
      <c r="J169" s="1054"/>
      <c r="K169" s="1054"/>
      <c r="L169" s="1389"/>
      <c r="M169" s="1054"/>
      <c r="N169" s="1054"/>
      <c r="O169" s="1055"/>
    </row>
    <row r="170" spans="4:15" ht="19.5" customHeight="1">
      <c r="D170" s="1025"/>
      <c r="E170" s="1181"/>
      <c r="F170" s="1056" t="str">
        <f>IF(F169=$S$16,$T$10,IF(ROUNDDOWN(F169,0)=$S$10,$U$10,$T$10))</f>
        <v>　レベル　1</v>
      </c>
      <c r="G170" s="1058" t="s">
        <v>2365</v>
      </c>
      <c r="H170" s="1059"/>
      <c r="I170" s="1059"/>
      <c r="J170" s="1059"/>
      <c r="K170" s="1059"/>
      <c r="L170" s="1390"/>
      <c r="M170" s="1059"/>
      <c r="N170" s="1059"/>
      <c r="O170" s="1060"/>
    </row>
    <row r="171" spans="4:15" ht="19.5" customHeight="1">
      <c r="D171" s="1025"/>
      <c r="E171" s="1181"/>
      <c r="F171" s="1061" t="str">
        <f>IF(F169=$S$16,$T$11,IF(ROUNDDOWN(F169,0)=$S$11,$U$11,$T$11))</f>
        <v>　レベル　2</v>
      </c>
      <c r="G171" s="1065" t="s">
        <v>2365</v>
      </c>
      <c r="H171" s="1066"/>
      <c r="I171" s="1066"/>
      <c r="J171" s="1066"/>
      <c r="K171" s="1066"/>
      <c r="L171" s="1391"/>
      <c r="M171" s="1066"/>
      <c r="N171" s="1066"/>
      <c r="O171" s="1067"/>
    </row>
    <row r="172" spans="4:15" ht="19.5" customHeight="1">
      <c r="D172" s="1025"/>
      <c r="E172" s="1181"/>
      <c r="F172" s="1061" t="str">
        <f>IF(F169=$S$16,$T$12,IF(ROUNDDOWN(F169,0)=$S$12,$U$12,$T$12))</f>
        <v>■レベル　3</v>
      </c>
      <c r="G172" s="1065" t="s">
        <v>224</v>
      </c>
      <c r="H172" s="1066"/>
      <c r="I172" s="1066"/>
      <c r="J172" s="1066"/>
      <c r="K172" s="1066"/>
      <c r="L172" s="1391"/>
      <c r="M172" s="1066"/>
      <c r="N172" s="1066"/>
      <c r="O172" s="1067"/>
    </row>
    <row r="173" spans="4:15" ht="19.5" customHeight="1">
      <c r="D173" s="1025"/>
      <c r="E173" s="1181"/>
      <c r="F173" s="1061" t="str">
        <f>IF(F169=$S$16,$T$13,IF(ROUNDDOWN(F169,0)=$S$13,$U$13,$T$13))</f>
        <v>　レベル　4</v>
      </c>
      <c r="G173" s="1065" t="s">
        <v>225</v>
      </c>
      <c r="H173" s="1066"/>
      <c r="I173" s="1066"/>
      <c r="J173" s="1066"/>
      <c r="K173" s="1066"/>
      <c r="L173" s="1391"/>
      <c r="M173" s="1066"/>
      <c r="N173" s="1066"/>
      <c r="O173" s="1067"/>
    </row>
    <row r="174" spans="4:15" ht="19.5" customHeight="1" thickBot="1">
      <c r="D174" s="1025"/>
      <c r="E174" s="1181"/>
      <c r="F174" s="1072" t="str">
        <f>IF(F169=$S$16,$T$14,IF(ROUNDDOWN(F169,0)=$S$14,$U$14,$T$14))</f>
        <v>　レベル　5</v>
      </c>
      <c r="G174" s="1076" t="s">
        <v>226</v>
      </c>
      <c r="H174" s="1077"/>
      <c r="I174" s="1077"/>
      <c r="J174" s="1077"/>
      <c r="K174" s="1077"/>
      <c r="L174" s="1392"/>
      <c r="M174" s="1077"/>
      <c r="N174" s="1077"/>
      <c r="O174" s="1078"/>
    </row>
    <row r="175" spans="4:15" ht="21" customHeight="1" thickBot="1">
      <c r="D175" s="1025"/>
      <c r="E175" s="1026"/>
      <c r="F175" s="1411"/>
      <c r="G175" s="1613" t="s">
        <v>227</v>
      </c>
      <c r="H175" s="490"/>
      <c r="I175" s="490"/>
      <c r="J175" s="1610" t="s">
        <v>530</v>
      </c>
      <c r="K175" s="1611">
        <f>COUNTIF(G178:G197,"無")</f>
        <v>0</v>
      </c>
      <c r="L175" s="1614" t="s">
        <v>2347</v>
      </c>
      <c r="M175" s="1026"/>
      <c r="N175" s="1026"/>
      <c r="O175" s="1026"/>
    </row>
    <row r="176" spans="4:15" ht="15.75">
      <c r="D176" s="1025"/>
      <c r="E176" s="1026"/>
      <c r="F176" s="1615"/>
      <c r="G176" s="3217" t="s">
        <v>228</v>
      </c>
      <c r="H176" s="1558" t="s">
        <v>229</v>
      </c>
      <c r="I176" s="1616"/>
      <c r="J176" s="1558" t="s">
        <v>3022</v>
      </c>
      <c r="K176" s="1617"/>
      <c r="L176" s="1618"/>
      <c r="M176" s="1021"/>
      <c r="N176" s="1356"/>
      <c r="O176" s="1356"/>
    </row>
    <row r="177" spans="4:15" ht="11.25" customHeight="1">
      <c r="D177" s="1025"/>
      <c r="E177" s="1026"/>
      <c r="F177" s="1619"/>
      <c r="G177" s="3218"/>
      <c r="H177" s="1498"/>
      <c r="I177" s="1620"/>
      <c r="J177" s="1621"/>
      <c r="K177" s="1622"/>
      <c r="L177" s="1623"/>
      <c r="M177" s="1021"/>
      <c r="N177" s="1600"/>
      <c r="O177" s="1600"/>
    </row>
    <row r="178" spans="4:15" ht="15" customHeight="1">
      <c r="D178" s="1025"/>
      <c r="E178" s="1026"/>
      <c r="F178" s="1624"/>
      <c r="G178" s="1625"/>
      <c r="H178" s="1626" t="s">
        <v>3023</v>
      </c>
      <c r="I178" s="1627"/>
      <c r="J178" s="1626" t="s">
        <v>3024</v>
      </c>
      <c r="K178" s="1628"/>
      <c r="L178" s="1629"/>
      <c r="M178" s="1021"/>
      <c r="N178" s="1221"/>
      <c r="O178" s="1221"/>
    </row>
    <row r="179" spans="4:15" ht="15" customHeight="1">
      <c r="D179" s="1025"/>
      <c r="E179" s="1026"/>
      <c r="F179" s="1630"/>
      <c r="G179" s="1631"/>
      <c r="H179" s="1632"/>
      <c r="I179" s="1633"/>
      <c r="J179" s="1634" t="s">
        <v>3025</v>
      </c>
      <c r="K179" s="1635"/>
      <c r="L179" s="1633"/>
      <c r="M179" s="1021"/>
      <c r="N179" s="164"/>
      <c r="O179" s="164"/>
    </row>
    <row r="180" spans="4:15" ht="15" customHeight="1">
      <c r="D180" s="1025"/>
      <c r="E180" s="1026"/>
      <c r="F180" s="1636"/>
      <c r="G180" s="1631"/>
      <c r="H180" s="1632"/>
      <c r="I180" s="1633"/>
      <c r="J180" s="1634" t="s">
        <v>3026</v>
      </c>
      <c r="K180" s="1635"/>
      <c r="L180" s="1633"/>
      <c r="M180" s="1021"/>
      <c r="N180" s="1637"/>
      <c r="O180" s="1637"/>
    </row>
    <row r="181" spans="4:15" ht="15" customHeight="1">
      <c r="D181" s="1025"/>
      <c r="E181" s="1026"/>
      <c r="F181" s="1630"/>
      <c r="G181" s="1638"/>
      <c r="H181" s="1639"/>
      <c r="I181" s="1640"/>
      <c r="J181" s="1639" t="s">
        <v>3027</v>
      </c>
      <c r="K181" s="1641"/>
      <c r="L181" s="1642"/>
      <c r="M181" s="1021"/>
      <c r="N181" s="164"/>
      <c r="O181" s="164"/>
    </row>
    <row r="182" spans="4:15" ht="15" customHeight="1">
      <c r="D182" s="1025"/>
      <c r="E182" s="1026"/>
      <c r="F182" s="1630"/>
      <c r="G182" s="1625" t="s">
        <v>2923</v>
      </c>
      <c r="H182" s="1626" t="s">
        <v>3028</v>
      </c>
      <c r="I182" s="1627"/>
      <c r="J182" s="1626" t="s">
        <v>3029</v>
      </c>
      <c r="K182" s="1628"/>
      <c r="L182" s="1629"/>
      <c r="M182" s="1021"/>
      <c r="N182" s="164"/>
      <c r="O182" s="164"/>
    </row>
    <row r="183" spans="4:15" ht="15" customHeight="1">
      <c r="D183" s="1025"/>
      <c r="E183" s="1026"/>
      <c r="F183" s="1630"/>
      <c r="G183" s="1631" t="s">
        <v>2923</v>
      </c>
      <c r="H183" s="1632"/>
      <c r="I183" s="1220"/>
      <c r="J183" s="1632" t="s">
        <v>3030</v>
      </c>
      <c r="K183" s="1643"/>
      <c r="L183" s="1633"/>
      <c r="M183" s="1021"/>
      <c r="N183" s="164"/>
      <c r="O183" s="164"/>
    </row>
    <row r="184" spans="4:15" ht="15" customHeight="1">
      <c r="D184" s="1025"/>
      <c r="E184" s="1026"/>
      <c r="F184" s="1630"/>
      <c r="G184" s="1631" t="s">
        <v>2923</v>
      </c>
      <c r="H184" s="1632"/>
      <c r="I184" s="1220"/>
      <c r="J184" s="1632" t="s">
        <v>3031</v>
      </c>
      <c r="K184" s="1643"/>
      <c r="L184" s="1633"/>
      <c r="M184" s="1021"/>
      <c r="N184" s="164"/>
      <c r="O184" s="164"/>
    </row>
    <row r="185" spans="4:15" ht="15" customHeight="1">
      <c r="D185" s="1025"/>
      <c r="E185" s="1026"/>
      <c r="F185" s="1630"/>
      <c r="G185" s="1638" t="s">
        <v>2923</v>
      </c>
      <c r="H185" s="1639"/>
      <c r="I185" s="1640"/>
      <c r="J185" s="1639" t="s">
        <v>3032</v>
      </c>
      <c r="K185" s="1641"/>
      <c r="L185" s="1642"/>
      <c r="M185" s="1021"/>
      <c r="N185" s="164"/>
      <c r="O185" s="164"/>
    </row>
    <row r="186" spans="4:15" ht="15" customHeight="1">
      <c r="D186" s="1025"/>
      <c r="E186" s="1026"/>
      <c r="F186" s="1644"/>
      <c r="G186" s="1625" t="s">
        <v>2923</v>
      </c>
      <c r="H186" s="1626" t="s">
        <v>3033</v>
      </c>
      <c r="I186" s="1627"/>
      <c r="J186" s="1626" t="s">
        <v>3034</v>
      </c>
      <c r="K186" s="1628"/>
      <c r="L186" s="1629"/>
      <c r="M186" s="1021"/>
      <c r="N186" s="1645"/>
      <c r="O186" s="1645"/>
    </row>
    <row r="187" spans="4:15" ht="15" customHeight="1">
      <c r="D187" s="1025"/>
      <c r="E187" s="1026"/>
      <c r="F187" s="1636"/>
      <c r="G187" s="1638" t="s">
        <v>2923</v>
      </c>
      <c r="H187" s="1639"/>
      <c r="I187" s="1640"/>
      <c r="J187" s="1639" t="s">
        <v>2595</v>
      </c>
      <c r="K187" s="1641"/>
      <c r="L187" s="1642"/>
      <c r="M187" s="1021"/>
      <c r="N187" s="1637"/>
      <c r="O187" s="1637"/>
    </row>
    <row r="188" spans="4:15" ht="15" customHeight="1">
      <c r="D188" s="1025"/>
      <c r="E188" s="1026"/>
      <c r="F188" s="1630"/>
      <c r="G188" s="1625" t="s">
        <v>2923</v>
      </c>
      <c r="H188" s="1626" t="s">
        <v>2596</v>
      </c>
      <c r="I188" s="1627"/>
      <c r="J188" s="1626" t="s">
        <v>2597</v>
      </c>
      <c r="K188" s="1628"/>
      <c r="L188" s="1629"/>
      <c r="M188" s="1021"/>
      <c r="N188" s="164"/>
      <c r="O188" s="164"/>
    </row>
    <row r="189" spans="4:15" ht="15" customHeight="1">
      <c r="D189" s="1025"/>
      <c r="E189" s="1026"/>
      <c r="F189" s="1630"/>
      <c r="G189" s="1631" t="s">
        <v>2923</v>
      </c>
      <c r="H189" s="1632"/>
      <c r="I189" s="1220"/>
      <c r="J189" s="1632" t="s">
        <v>2598</v>
      </c>
      <c r="K189" s="1643"/>
      <c r="L189" s="1633"/>
      <c r="M189" s="1021"/>
      <c r="N189" s="164"/>
      <c r="O189" s="164"/>
    </row>
    <row r="190" spans="4:15" ht="15" customHeight="1">
      <c r="D190" s="1025"/>
      <c r="E190" s="1026"/>
      <c r="F190" s="1630"/>
      <c r="G190" s="1631" t="s">
        <v>2923</v>
      </c>
      <c r="H190" s="1632"/>
      <c r="I190" s="1220"/>
      <c r="J190" s="1632" t="s">
        <v>2599</v>
      </c>
      <c r="K190" s="1643"/>
      <c r="L190" s="1633"/>
      <c r="M190" s="1021"/>
      <c r="N190" s="164"/>
      <c r="O190" s="164"/>
    </row>
    <row r="191" spans="4:15" ht="15" customHeight="1">
      <c r="D191" s="1025"/>
      <c r="E191" s="1026"/>
      <c r="F191" s="1630"/>
      <c r="G191" s="1638" t="s">
        <v>2923</v>
      </c>
      <c r="H191" s="1639"/>
      <c r="I191" s="1640"/>
      <c r="J191" s="1639" t="s">
        <v>2600</v>
      </c>
      <c r="K191" s="1641"/>
      <c r="L191" s="1642"/>
      <c r="M191" s="1021"/>
      <c r="N191" s="164"/>
      <c r="O191" s="164"/>
    </row>
    <row r="192" spans="4:15" ht="15" customHeight="1">
      <c r="D192" s="1025"/>
      <c r="E192" s="1026"/>
      <c r="F192" s="1630"/>
      <c r="G192" s="1625" t="s">
        <v>2923</v>
      </c>
      <c r="H192" s="1626" t="s">
        <v>3017</v>
      </c>
      <c r="I192" s="1627"/>
      <c r="J192" s="1626" t="s">
        <v>3018</v>
      </c>
      <c r="K192" s="1628"/>
      <c r="L192" s="1629"/>
      <c r="M192" s="1021"/>
      <c r="N192" s="164"/>
      <c r="O192" s="164"/>
    </row>
    <row r="193" spans="2:15" ht="15" customHeight="1">
      <c r="D193" s="1025"/>
      <c r="E193" s="1026"/>
      <c r="F193" s="1636"/>
      <c r="G193" s="1638" t="s">
        <v>2923</v>
      </c>
      <c r="H193" s="1639"/>
      <c r="I193" s="1640"/>
      <c r="J193" s="1639" t="s">
        <v>3019</v>
      </c>
      <c r="K193" s="1641"/>
      <c r="L193" s="1642"/>
      <c r="M193" s="1021"/>
      <c r="N193" s="1637"/>
      <c r="O193" s="1637"/>
    </row>
    <row r="194" spans="2:15" ht="15" customHeight="1">
      <c r="D194" s="1025"/>
      <c r="E194" s="1026"/>
      <c r="F194" s="1630"/>
      <c r="G194" s="1625"/>
      <c r="H194" s="1646" t="s">
        <v>3020</v>
      </c>
      <c r="I194" s="1647"/>
      <c r="J194" s="1646" t="s">
        <v>1965</v>
      </c>
      <c r="K194" s="1648"/>
      <c r="L194" s="1647"/>
      <c r="M194" s="1021"/>
      <c r="N194" s="164"/>
      <c r="O194" s="164"/>
    </row>
    <row r="195" spans="2:15" ht="15" customHeight="1">
      <c r="D195" s="1025"/>
      <c r="E195" s="1026"/>
      <c r="F195" s="1630"/>
      <c r="G195" s="1631"/>
      <c r="H195" s="1632" t="s">
        <v>1966</v>
      </c>
      <c r="I195" s="1220"/>
      <c r="J195" s="1632" t="s">
        <v>1967</v>
      </c>
      <c r="K195" s="1643"/>
      <c r="L195" s="1220"/>
      <c r="M195" s="1021"/>
      <c r="N195" s="164"/>
      <c r="O195" s="164"/>
    </row>
    <row r="196" spans="2:15" ht="15" customHeight="1">
      <c r="D196" s="1025"/>
      <c r="E196" s="1026"/>
      <c r="F196" s="1630"/>
      <c r="G196" s="1631"/>
      <c r="H196" s="1632" t="s">
        <v>1968</v>
      </c>
      <c r="I196" s="1220"/>
      <c r="J196" s="1632" t="s">
        <v>3009</v>
      </c>
      <c r="K196" s="1649"/>
      <c r="L196" s="1650"/>
      <c r="M196" s="1021"/>
      <c r="N196" s="164"/>
      <c r="O196" s="164"/>
    </row>
    <row r="197" spans="2:15" ht="15.75" hidden="1" customHeight="1">
      <c r="D197" s="1025"/>
      <c r="E197" s="1026"/>
      <c r="F197" s="1636"/>
      <c r="G197" s="1651"/>
      <c r="H197" s="1652"/>
      <c r="I197" s="1653"/>
      <c r="J197" s="1652"/>
      <c r="K197" s="1641"/>
      <c r="L197" s="1640"/>
      <c r="M197" s="1021"/>
      <c r="N197" s="1637"/>
      <c r="O197" s="1637"/>
    </row>
    <row r="198" spans="2:15">
      <c r="D198" s="1259"/>
      <c r="E198" s="1259"/>
      <c r="F198" s="1259"/>
      <c r="G198" s="1654"/>
      <c r="H198" s="1654"/>
      <c r="I198" s="1654"/>
      <c r="J198" s="1654"/>
      <c r="K198" s="1654"/>
      <c r="L198" s="1655"/>
      <c r="M198" s="1259"/>
      <c r="N198" s="1259"/>
      <c r="O198" s="1259"/>
    </row>
    <row r="199" spans="2:15" ht="13.5" customHeight="1">
      <c r="D199" s="1465">
        <v>3.2</v>
      </c>
      <c r="E199" s="1032" t="s">
        <v>1404</v>
      </c>
      <c r="F199" s="1032"/>
      <c r="G199" s="1264"/>
      <c r="H199" s="1033"/>
      <c r="I199" s="1033"/>
      <c r="J199" s="1033"/>
      <c r="K199" s="1264"/>
      <c r="L199" s="1537"/>
      <c r="M199" s="1033"/>
      <c r="N199" s="1264"/>
      <c r="O199" s="1033"/>
    </row>
    <row r="200" spans="2:15" ht="13.5" customHeight="1">
      <c r="D200" s="1465"/>
      <c r="E200" s="1032"/>
      <c r="F200" s="1184" t="s">
        <v>3010</v>
      </c>
      <c r="G200" s="1264"/>
      <c r="H200" s="1033"/>
      <c r="I200" s="1033"/>
      <c r="J200" s="1033"/>
      <c r="K200" s="1184" t="s">
        <v>3011</v>
      </c>
      <c r="L200" s="1537"/>
      <c r="M200" s="1033"/>
      <c r="N200" s="1264"/>
      <c r="O200" s="1033"/>
    </row>
    <row r="201" spans="2:15" ht="13.5" customHeight="1" thickBot="1">
      <c r="D201" s="1025"/>
      <c r="E201" s="1181"/>
      <c r="F201" s="1042"/>
      <c r="G201" s="1043"/>
      <c r="H201" s="1044"/>
      <c r="I201" s="1045" t="s">
        <v>1484</v>
      </c>
      <c r="J201" s="1048">
        <f>重み!M156</f>
        <v>0.33333333333333331</v>
      </c>
      <c r="K201" s="1042"/>
      <c r="L201" s="1043"/>
      <c r="M201" s="1044"/>
      <c r="N201" s="1045" t="s">
        <v>1484</v>
      </c>
      <c r="O201" s="1048">
        <f>重み!M157</f>
        <v>0.33333333333333331</v>
      </c>
    </row>
    <row r="202" spans="2:15" ht="27" customHeight="1" thickBot="1">
      <c r="D202" s="1025"/>
      <c r="E202" s="1181"/>
      <c r="F202" s="1049">
        <v>4</v>
      </c>
      <c r="G202" s="1053" t="s">
        <v>556</v>
      </c>
      <c r="H202" s="1054"/>
      <c r="I202" s="1054"/>
      <c r="J202" s="1166" t="s">
        <v>1440</v>
      </c>
      <c r="K202" s="1049">
        <v>3</v>
      </c>
      <c r="L202" s="1656" t="s">
        <v>556</v>
      </c>
      <c r="M202" s="1054"/>
      <c r="N202" s="1054"/>
      <c r="O202" s="1055"/>
    </row>
    <row r="203" spans="2:15" ht="33" customHeight="1">
      <c r="B203" s="1">
        <v>1</v>
      </c>
      <c r="C203" s="1657">
        <v>1</v>
      </c>
      <c r="D203" s="1025"/>
      <c r="E203" s="1181"/>
      <c r="F203" s="1056" t="str">
        <f>IF(F202=$S$16,$T$10,IF(ROUNDDOWN(F202,0)=$S$10,$U$10,$T$10))</f>
        <v>　レベル　1</v>
      </c>
      <c r="G203" s="2896" t="s">
        <v>3012</v>
      </c>
      <c r="H203" s="2916"/>
      <c r="I203" s="2902"/>
      <c r="J203" s="3209" t="s">
        <v>123</v>
      </c>
      <c r="K203" s="1056" t="str">
        <f>IF(K202=$S$16,$T$10,IF(ROUNDDOWN(K202,0)=$S$10,$U$10,$T$10))</f>
        <v>　レベル　1</v>
      </c>
      <c r="L203" s="1058" t="s">
        <v>3013</v>
      </c>
      <c r="M203" s="1059"/>
      <c r="N203" s="1059"/>
      <c r="O203" s="1060"/>
    </row>
    <row r="204" spans="2:15" ht="18.75" customHeight="1">
      <c r="B204" s="1">
        <v>2</v>
      </c>
      <c r="C204" s="1657">
        <v>2</v>
      </c>
      <c r="D204" s="1025"/>
      <c r="E204" s="1181"/>
      <c r="F204" s="1061" t="str">
        <f>IF(F202=$S$16,$T$11,IF(ROUNDDOWN(F202,0)=$S$11,$U$11,$T$11))</f>
        <v>　レベル　2</v>
      </c>
      <c r="G204" s="1065" t="s">
        <v>3014</v>
      </c>
      <c r="H204" s="1066"/>
      <c r="I204" s="1066"/>
      <c r="J204" s="3210"/>
      <c r="K204" s="1061" t="str">
        <f>IF(K202=$S$16,$T$11,IF(ROUNDDOWN(K202,0)=$S$11,$U$11,$T$11))</f>
        <v>　レベル　2</v>
      </c>
      <c r="L204" s="1065" t="s">
        <v>3015</v>
      </c>
      <c r="M204" s="1066"/>
      <c r="N204" s="1066"/>
      <c r="O204" s="1067"/>
    </row>
    <row r="205" spans="2:15" ht="18.75" customHeight="1">
      <c r="B205" s="1" t="s">
        <v>1270</v>
      </c>
      <c r="C205" s="1">
        <v>3</v>
      </c>
      <c r="D205" s="1025"/>
      <c r="E205" s="1181"/>
      <c r="F205" s="1061" t="str">
        <f>IF(F202=$S$16,$T$12,IF(ROUNDDOWN(F202,0)=$S$12,$U$12,$T$12))</f>
        <v>　レベル　3</v>
      </c>
      <c r="G205" s="1065" t="s">
        <v>2365</v>
      </c>
      <c r="H205" s="1066"/>
      <c r="I205" s="1066"/>
      <c r="J205" s="3210"/>
      <c r="K205" s="1061" t="str">
        <f>IF(K202=$S$16,$T$12,IF(ROUNDDOWN(K202,0)=$S$12,$U$12,$T$12))</f>
        <v>■レベル　3</v>
      </c>
      <c r="L205" s="1065" t="s">
        <v>3016</v>
      </c>
      <c r="M205" s="1066"/>
      <c r="N205" s="1066"/>
      <c r="O205" s="1067"/>
    </row>
    <row r="206" spans="2:15" ht="42.75" customHeight="1">
      <c r="B206" s="1">
        <v>4</v>
      </c>
      <c r="C206" s="1">
        <v>4</v>
      </c>
      <c r="D206" s="1025"/>
      <c r="E206" s="1181"/>
      <c r="F206" s="1061" t="str">
        <f>IF(F202=$S$16,$T$13,IF(ROUNDDOWN(F202,0)=$S$13,$U$13,$T$13))</f>
        <v>■レベル　4</v>
      </c>
      <c r="G206" s="2900" t="s">
        <v>70</v>
      </c>
      <c r="H206" s="2917"/>
      <c r="I206" s="2943"/>
      <c r="J206" s="3210"/>
      <c r="K206" s="1061" t="str">
        <f>IF(K202=$S$16,$T$13,IF(ROUNDDOWN(K202,0)=$S$13,$U$13,$T$13))</f>
        <v>　レベル　4</v>
      </c>
      <c r="L206" s="2900" t="s">
        <v>71</v>
      </c>
      <c r="M206" s="2917"/>
      <c r="N206" s="2917"/>
      <c r="O206" s="2943"/>
    </row>
    <row r="207" spans="2:15" ht="45.75" customHeight="1">
      <c r="B207" s="1" t="s">
        <v>1271</v>
      </c>
      <c r="C207" s="1">
        <v>5</v>
      </c>
      <c r="D207" s="1025"/>
      <c r="E207" s="1179"/>
      <c r="F207" s="1072" t="str">
        <f>IF(F202=$S$16,$T$14,IF(ROUNDDOWN(F202,0)=$S$14,$U$14,$T$14))</f>
        <v>　レベル　5</v>
      </c>
      <c r="G207" s="1076" t="s">
        <v>2365</v>
      </c>
      <c r="H207" s="1077"/>
      <c r="I207" s="1077"/>
      <c r="J207" s="3211"/>
      <c r="K207" s="1072" t="str">
        <f>IF(K202=$S$16,$T$14,IF(ROUNDDOWN(K202,0)=$S$14,$U$14,$T$14))</f>
        <v>　レベル　5</v>
      </c>
      <c r="L207" s="2898" t="s">
        <v>3345</v>
      </c>
      <c r="M207" s="2922"/>
      <c r="N207" s="2922"/>
      <c r="O207" s="2928"/>
    </row>
    <row r="208" spans="2:15" ht="13.5" customHeight="1">
      <c r="B208" s="1079">
        <v>0</v>
      </c>
      <c r="C208" s="1079">
        <v>0</v>
      </c>
      <c r="D208" s="1025"/>
      <c r="E208" s="1179"/>
      <c r="F208" s="1352"/>
      <c r="G208" s="1352"/>
      <c r="H208" s="1352"/>
      <c r="I208" s="1352"/>
      <c r="J208" s="1352"/>
      <c r="K208" s="1352"/>
      <c r="L208" s="1608"/>
      <c r="M208" s="1608"/>
      <c r="N208" s="1608"/>
      <c r="O208" s="1608"/>
    </row>
    <row r="209" spans="2:15" ht="13.5" customHeight="1">
      <c r="D209" s="1025"/>
      <c r="E209" s="1179"/>
      <c r="F209" s="1184" t="s">
        <v>2323</v>
      </c>
      <c r="G209" s="1352"/>
      <c r="H209" s="1352"/>
      <c r="I209" s="1352"/>
      <c r="J209" s="1352"/>
      <c r="K209" s="1352"/>
      <c r="L209" s="1608"/>
      <c r="M209" s="1608"/>
      <c r="N209" s="1608"/>
      <c r="O209" s="1608"/>
    </row>
    <row r="210" spans="2:15" ht="13.5" customHeight="1" thickBot="1">
      <c r="D210" s="1025"/>
      <c r="E210" s="1179"/>
      <c r="F210" s="1042"/>
      <c r="G210" s="1043"/>
      <c r="H210" s="1044"/>
      <c r="I210" s="1045" t="s">
        <v>1484</v>
      </c>
      <c r="J210" s="1048">
        <f>重み!M158</f>
        <v>0.33333333333333331</v>
      </c>
      <c r="K210" s="1352"/>
      <c r="L210" s="1608"/>
      <c r="M210" s="1608"/>
      <c r="N210" s="1608"/>
      <c r="O210" s="1608"/>
    </row>
    <row r="211" spans="2:15" ht="27.75" customHeight="1" thickBot="1">
      <c r="D211" s="1025"/>
      <c r="E211" s="1179"/>
      <c r="F211" s="1049">
        <v>3</v>
      </c>
      <c r="G211" s="1053" t="s">
        <v>556</v>
      </c>
      <c r="H211" s="1054"/>
      <c r="I211" s="1054"/>
      <c r="J211" s="1055"/>
      <c r="K211" s="1192" t="s">
        <v>1440</v>
      </c>
      <c r="L211" s="1608"/>
      <c r="M211" s="1608"/>
      <c r="N211" s="1608"/>
      <c r="O211" s="1608"/>
    </row>
    <row r="212" spans="2:15" ht="24.75" customHeight="1">
      <c r="B212" s="1" t="s">
        <v>3105</v>
      </c>
      <c r="C212" s="1">
        <v>1</v>
      </c>
      <c r="D212" s="1025"/>
      <c r="E212" s="1179"/>
      <c r="F212" s="1056" t="str">
        <f>IF(F211=$S$16,$T$10,IF(ROUNDDOWN(F211,0)=$S$10,$U$10,$T$10))</f>
        <v>　レベル　1</v>
      </c>
      <c r="G212" s="2896" t="s">
        <v>2365</v>
      </c>
      <c r="H212" s="3207"/>
      <c r="I212" s="3207"/>
      <c r="J212" s="3208"/>
      <c r="K212" s="3209" t="s">
        <v>122</v>
      </c>
      <c r="L212" s="1608"/>
      <c r="M212" s="1608"/>
      <c r="N212" s="1608"/>
      <c r="O212" s="1608"/>
    </row>
    <row r="213" spans="2:15" ht="24.75" customHeight="1">
      <c r="B213" s="1">
        <v>2</v>
      </c>
      <c r="C213" s="1">
        <v>2</v>
      </c>
      <c r="D213" s="1025"/>
      <c r="E213" s="1179"/>
      <c r="F213" s="1061" t="str">
        <f>IF(F211=$S$16,$T$11,IF(ROUNDDOWN(F211,0)=$S$11,$U$11,$T$11))</f>
        <v>　レベル　2</v>
      </c>
      <c r="G213" s="2900" t="s">
        <v>2324</v>
      </c>
      <c r="H213" s="2923"/>
      <c r="I213" s="2923"/>
      <c r="J213" s="2924"/>
      <c r="K213" s="3210"/>
      <c r="L213" s="1608"/>
      <c r="M213" s="1608"/>
      <c r="N213" s="1608"/>
      <c r="O213" s="1608"/>
    </row>
    <row r="214" spans="2:15" ht="24.75" customHeight="1">
      <c r="B214" s="1">
        <v>3</v>
      </c>
      <c r="C214" s="1">
        <v>3</v>
      </c>
      <c r="D214" s="1025"/>
      <c r="E214" s="1179"/>
      <c r="F214" s="1061" t="str">
        <f>IF(F211=$S$16,$T$12,IF(ROUNDDOWN(F211,0)=$S$12,$U$12,$T$12))</f>
        <v>■レベル　3</v>
      </c>
      <c r="G214" s="2900" t="s">
        <v>2325</v>
      </c>
      <c r="H214" s="2923"/>
      <c r="I214" s="2923"/>
      <c r="J214" s="2924"/>
      <c r="K214" s="3210"/>
      <c r="L214" s="1608"/>
      <c r="M214" s="1608"/>
      <c r="N214" s="1608"/>
      <c r="O214" s="1608"/>
    </row>
    <row r="215" spans="2:15" ht="40.5" customHeight="1">
      <c r="B215" s="1">
        <v>4</v>
      </c>
      <c r="C215" s="1">
        <v>4</v>
      </c>
      <c r="D215" s="1025"/>
      <c r="E215" s="1179"/>
      <c r="F215" s="1061" t="str">
        <f>IF(F211=$S$16,$T$13,IF(ROUNDDOWN(F211,0)=$S$13,$U$13,$T$13))</f>
        <v>　レベル　4</v>
      </c>
      <c r="G215" s="2900" t="s">
        <v>2326</v>
      </c>
      <c r="H215" s="2923"/>
      <c r="I215" s="2923"/>
      <c r="J215" s="2924"/>
      <c r="K215" s="3210"/>
      <c r="L215" s="1608"/>
      <c r="M215" s="1608"/>
      <c r="N215" s="1608"/>
      <c r="O215" s="1608"/>
    </row>
    <row r="216" spans="2:15" ht="24.75" customHeight="1">
      <c r="B216" s="1" t="s">
        <v>3105</v>
      </c>
      <c r="C216" s="1">
        <v>5</v>
      </c>
      <c r="D216" s="1025"/>
      <c r="E216" s="1179"/>
      <c r="F216" s="1072" t="str">
        <f>IF(F211=$S$16,$T$14,IF(ROUNDDOWN(F211,0)=$S$14,$U$14,$T$14))</f>
        <v>　レベル　5</v>
      </c>
      <c r="G216" s="2898" t="s">
        <v>2365</v>
      </c>
      <c r="H216" s="2920"/>
      <c r="I216" s="2920"/>
      <c r="J216" s="2921"/>
      <c r="K216" s="3211"/>
      <c r="L216" s="1608"/>
      <c r="M216" s="1608"/>
      <c r="N216" s="1608"/>
      <c r="O216" s="1608"/>
    </row>
    <row r="217" spans="2:15" ht="13.5" customHeight="1">
      <c r="B217" s="1079">
        <v>0</v>
      </c>
      <c r="C217" s="1079">
        <v>0</v>
      </c>
      <c r="D217" s="1025"/>
      <c r="E217" s="1026"/>
      <c r="F217" s="1658" t="s">
        <v>2327</v>
      </c>
      <c r="G217" s="1659"/>
      <c r="H217" s="1659"/>
      <c r="I217" s="1659"/>
      <c r="J217" s="1659"/>
      <c r="K217" s="1659"/>
      <c r="L217" s="1660"/>
      <c r="M217" s="1608"/>
      <c r="N217" s="1608"/>
      <c r="O217" s="1608"/>
    </row>
    <row r="218" spans="2:15" ht="13.5" customHeight="1">
      <c r="D218" s="1025"/>
      <c r="E218" s="1026"/>
      <c r="F218" s="1661" t="s">
        <v>2328</v>
      </c>
      <c r="G218" s="1662"/>
      <c r="H218" s="1663"/>
      <c r="I218" s="1664" t="s">
        <v>2329</v>
      </c>
      <c r="J218" s="1665"/>
      <c r="K218" s="1665"/>
      <c r="L218" s="1666"/>
      <c r="M218" s="1665"/>
      <c r="N218" s="1665"/>
      <c r="O218" s="1667"/>
    </row>
    <row r="219" spans="2:15" ht="13.5" customHeight="1">
      <c r="D219" s="1025"/>
      <c r="E219" s="1026"/>
      <c r="F219" s="1168" t="s">
        <v>781</v>
      </c>
      <c r="G219" s="1661" t="s">
        <v>1117</v>
      </c>
      <c r="H219" s="1663"/>
      <c r="I219" s="1668" t="s">
        <v>782</v>
      </c>
      <c r="J219" s="1669"/>
      <c r="K219" s="1669"/>
      <c r="L219" s="1670"/>
      <c r="M219" s="1669"/>
      <c r="N219" s="1669"/>
      <c r="O219" s="1671"/>
    </row>
    <row r="220" spans="2:15" ht="13.5" customHeight="1">
      <c r="D220" s="1025"/>
      <c r="E220" s="1026"/>
      <c r="F220" s="1672"/>
      <c r="G220" s="1661" t="s">
        <v>783</v>
      </c>
      <c r="H220" s="1663"/>
      <c r="I220" s="1661" t="s">
        <v>1118</v>
      </c>
      <c r="J220" s="1662"/>
      <c r="K220" s="1662"/>
      <c r="L220" s="1673"/>
      <c r="M220" s="1662"/>
      <c r="N220" s="1662"/>
      <c r="O220" s="1663"/>
    </row>
    <row r="221" spans="2:15" ht="13.5" customHeight="1">
      <c r="D221" s="1025"/>
      <c r="E221" s="1026"/>
      <c r="F221" s="1672"/>
      <c r="G221" s="1661" t="s">
        <v>784</v>
      </c>
      <c r="H221" s="1663"/>
      <c r="I221" s="1661" t="s">
        <v>1119</v>
      </c>
      <c r="J221" s="1662"/>
      <c r="K221" s="1662"/>
      <c r="L221" s="1673"/>
      <c r="M221" s="1662"/>
      <c r="N221" s="1662"/>
      <c r="O221" s="1663"/>
    </row>
    <row r="222" spans="2:15" ht="13.5" customHeight="1">
      <c r="D222" s="1025"/>
      <c r="E222" s="1026"/>
      <c r="F222" s="1672"/>
      <c r="G222" s="1661" t="s">
        <v>785</v>
      </c>
      <c r="H222" s="1663"/>
      <c r="I222" s="1661" t="s">
        <v>1120</v>
      </c>
      <c r="J222" s="1662"/>
      <c r="K222" s="1662"/>
      <c r="L222" s="1673"/>
      <c r="M222" s="1662"/>
      <c r="N222" s="1662"/>
      <c r="O222" s="1663"/>
    </row>
    <row r="223" spans="2:15" ht="13.5" customHeight="1">
      <c r="D223" s="1025"/>
      <c r="E223" s="1026"/>
      <c r="F223" s="1519"/>
      <c r="G223" s="1661" t="s">
        <v>786</v>
      </c>
      <c r="H223" s="1663"/>
      <c r="I223" s="1661" t="s">
        <v>1121</v>
      </c>
      <c r="J223" s="1662"/>
      <c r="K223" s="1662"/>
      <c r="L223" s="1673"/>
      <c r="M223" s="1662"/>
      <c r="N223" s="1662"/>
      <c r="O223" s="1663"/>
    </row>
    <row r="224" spans="2:15" ht="13.5" customHeight="1">
      <c r="D224" s="1025"/>
      <c r="E224" s="1026"/>
      <c r="F224" s="1674" t="s">
        <v>2398</v>
      </c>
      <c r="G224" s="1661" t="s">
        <v>1122</v>
      </c>
      <c r="H224" s="1663"/>
      <c r="I224" s="1661" t="s">
        <v>1123</v>
      </c>
      <c r="J224" s="1662"/>
      <c r="K224" s="1662"/>
      <c r="L224" s="1673"/>
      <c r="M224" s="1662"/>
      <c r="N224" s="1662"/>
      <c r="O224" s="1663"/>
    </row>
    <row r="225" spans="4:15" ht="13.5" customHeight="1">
      <c r="D225" s="1025"/>
      <c r="E225" s="1026"/>
      <c r="F225" s="1674" t="s">
        <v>2399</v>
      </c>
      <c r="G225" s="1661" t="s">
        <v>1124</v>
      </c>
      <c r="H225" s="1663"/>
      <c r="I225" s="1661" t="s">
        <v>1125</v>
      </c>
      <c r="J225" s="1662"/>
      <c r="K225" s="1662"/>
      <c r="L225" s="1673"/>
      <c r="M225" s="1662"/>
      <c r="N225" s="1662"/>
      <c r="O225" s="1663"/>
    </row>
    <row r="226" spans="4:15" ht="13.5" customHeight="1">
      <c r="D226" s="1025"/>
      <c r="E226" s="1026"/>
      <c r="F226" s="1674" t="s">
        <v>1126</v>
      </c>
      <c r="G226" s="1661" t="s">
        <v>752</v>
      </c>
      <c r="H226" s="1663"/>
      <c r="I226" s="1661" t="s">
        <v>1504</v>
      </c>
      <c r="J226" s="1662"/>
      <c r="K226" s="1662"/>
      <c r="L226" s="1673"/>
      <c r="M226" s="1662"/>
      <c r="N226" s="1662"/>
      <c r="O226" s="1663"/>
    </row>
    <row r="227" spans="4:15" ht="13.5" customHeight="1">
      <c r="D227" s="1025"/>
      <c r="E227" s="1026"/>
      <c r="F227" s="1675" t="s">
        <v>2400</v>
      </c>
      <c r="G227" s="1352"/>
      <c r="H227" s="1352"/>
      <c r="I227" s="1352"/>
      <c r="J227" s="1352"/>
      <c r="K227" s="1352"/>
      <c r="L227" s="1676"/>
      <c r="M227" s="1608"/>
      <c r="N227" s="1608"/>
      <c r="O227" s="1608"/>
    </row>
    <row r="228" spans="4:15" ht="13.5" customHeight="1">
      <c r="D228" s="1025"/>
      <c r="E228" s="1026"/>
      <c r="F228" s="1677" t="s">
        <v>1505</v>
      </c>
      <c r="G228" s="1678"/>
      <c r="H228" s="1679"/>
      <c r="I228" s="1680" t="s">
        <v>1506</v>
      </c>
      <c r="J228" s="1681" t="s">
        <v>1507</v>
      </c>
      <c r="K228" s="1682"/>
      <c r="L228" s="1683" t="s">
        <v>2401</v>
      </c>
      <c r="M228" s="1684" t="s">
        <v>1508</v>
      </c>
      <c r="O228" s="1608"/>
    </row>
    <row r="229" spans="4:15" ht="13.5" customHeight="1">
      <c r="D229" s="1025"/>
      <c r="E229" s="1026"/>
      <c r="F229" s="1685" t="s">
        <v>1509</v>
      </c>
      <c r="G229" s="1686"/>
      <c r="H229" s="1687"/>
      <c r="I229" s="1680" t="s">
        <v>1510</v>
      </c>
      <c r="J229" s="1677" t="s">
        <v>2402</v>
      </c>
      <c r="K229" s="1679"/>
      <c r="L229" s="1688">
        <v>1</v>
      </c>
      <c r="M229" s="1689">
        <v>4750</v>
      </c>
      <c r="O229" s="1608"/>
    </row>
    <row r="230" spans="4:15" ht="13.5" customHeight="1">
      <c r="D230" s="1025"/>
      <c r="E230" s="1026"/>
      <c r="F230" s="1690"/>
      <c r="G230" s="1691"/>
      <c r="H230" s="1692"/>
      <c r="I230" s="1680" t="s">
        <v>451</v>
      </c>
      <c r="J230" s="1677" t="s">
        <v>2403</v>
      </c>
      <c r="K230" s="1679"/>
      <c r="L230" s="1688">
        <v>0.11</v>
      </c>
      <c r="M230" s="1693">
        <v>725</v>
      </c>
      <c r="O230" s="1608"/>
    </row>
    <row r="231" spans="4:15" ht="13.5" customHeight="1">
      <c r="D231" s="1025"/>
      <c r="E231" s="1026"/>
      <c r="F231" s="1694" t="s">
        <v>452</v>
      </c>
      <c r="G231" s="1695"/>
      <c r="H231" s="1696"/>
      <c r="I231" s="1677" t="s">
        <v>453</v>
      </c>
      <c r="J231" s="1677" t="s">
        <v>2404</v>
      </c>
      <c r="K231" s="1679"/>
      <c r="L231" s="1688">
        <v>0</v>
      </c>
      <c r="M231" s="1697">
        <v>1430</v>
      </c>
      <c r="O231" s="1608"/>
    </row>
    <row r="232" spans="4:15" ht="13.5" customHeight="1">
      <c r="D232" s="1025"/>
      <c r="E232" s="1026"/>
      <c r="F232" s="1698"/>
      <c r="G232" s="1699"/>
      <c r="H232" s="1700"/>
      <c r="I232" s="1677"/>
      <c r="J232" s="1677" t="s">
        <v>2405</v>
      </c>
      <c r="K232" s="1679"/>
      <c r="L232" s="1688">
        <v>0</v>
      </c>
      <c r="M232" s="1693">
        <v>560</v>
      </c>
      <c r="O232" s="1608"/>
    </row>
    <row r="233" spans="4:15" ht="13.5" customHeight="1">
      <c r="D233" s="1025"/>
      <c r="E233" s="1026"/>
      <c r="F233" s="1701"/>
      <c r="G233" s="1702"/>
      <c r="H233" s="1703"/>
      <c r="I233" s="1677"/>
      <c r="J233" s="1677" t="s">
        <v>892</v>
      </c>
      <c r="K233" s="1679"/>
      <c r="L233" s="1688">
        <v>0</v>
      </c>
      <c r="M233" s="1693">
        <v>3</v>
      </c>
      <c r="O233" s="1608"/>
    </row>
    <row r="234" spans="4:15" ht="13.5" customHeight="1">
      <c r="D234" s="1025"/>
      <c r="E234" s="1026"/>
      <c r="F234" s="1685" t="s">
        <v>454</v>
      </c>
      <c r="G234" s="1686"/>
      <c r="H234" s="1687"/>
      <c r="I234" s="1680" t="s">
        <v>1510</v>
      </c>
      <c r="J234" s="1677" t="s">
        <v>893</v>
      </c>
      <c r="K234" s="1679"/>
      <c r="L234" s="1688">
        <v>1</v>
      </c>
      <c r="M234" s="1697">
        <v>10900</v>
      </c>
      <c r="O234" s="1608"/>
    </row>
    <row r="235" spans="4:15" ht="13.5" customHeight="1">
      <c r="D235" s="1025"/>
      <c r="E235" s="1026"/>
      <c r="F235" s="1704"/>
      <c r="G235" s="1705"/>
      <c r="H235" s="1706"/>
      <c r="I235" s="1680" t="s">
        <v>451</v>
      </c>
      <c r="J235" s="1677" t="s">
        <v>894</v>
      </c>
      <c r="K235" s="1679"/>
      <c r="L235" s="1688">
        <v>6.5000000000000002E-2</v>
      </c>
      <c r="M235" s="1697">
        <v>2310</v>
      </c>
      <c r="O235" s="1608"/>
    </row>
    <row r="236" spans="4:15" ht="13.5" customHeight="1">
      <c r="D236" s="1025"/>
      <c r="E236" s="1026"/>
      <c r="F236" s="1690"/>
      <c r="G236" s="1691"/>
      <c r="H236" s="1692"/>
      <c r="I236" s="1680" t="s">
        <v>453</v>
      </c>
      <c r="J236" s="1677" t="s">
        <v>2404</v>
      </c>
      <c r="K236" s="1679"/>
      <c r="L236" s="1688">
        <v>0</v>
      </c>
      <c r="M236" s="1697">
        <v>1430</v>
      </c>
      <c r="O236" s="1608"/>
    </row>
    <row r="237" spans="4:15" ht="13.5" customHeight="1">
      <c r="D237" s="1025"/>
      <c r="E237" s="1026"/>
      <c r="F237" s="1685" t="s">
        <v>895</v>
      </c>
      <c r="G237" s="1686"/>
      <c r="H237" s="1687"/>
      <c r="I237" s="1680" t="s">
        <v>1510</v>
      </c>
      <c r="J237" s="1677" t="s">
        <v>896</v>
      </c>
      <c r="K237" s="1679"/>
      <c r="L237" s="1688">
        <v>0.8</v>
      </c>
      <c r="M237" s="1697">
        <v>6130</v>
      </c>
      <c r="O237" s="1608"/>
    </row>
    <row r="238" spans="4:15" ht="15.75">
      <c r="D238" s="1025"/>
      <c r="E238" s="1026"/>
      <c r="F238" s="1690"/>
      <c r="G238" s="1691"/>
      <c r="H238" s="1692"/>
      <c r="I238" s="1680" t="s">
        <v>455</v>
      </c>
      <c r="J238" s="1677" t="s">
        <v>897</v>
      </c>
      <c r="K238" s="1679"/>
      <c r="L238" s="1688">
        <v>0</v>
      </c>
      <c r="M238" s="1693"/>
      <c r="O238" s="1608"/>
    </row>
    <row r="239" spans="4:15">
      <c r="F239" s="1707" t="s">
        <v>1149</v>
      </c>
      <c r="G239" s="1708"/>
      <c r="H239" s="1708"/>
      <c r="I239" s="1709"/>
    </row>
    <row r="240" spans="4:15">
      <c r="F240" s="1710" t="s">
        <v>1150</v>
      </c>
      <c r="G240" s="1711" t="s">
        <v>1151</v>
      </c>
      <c r="H240" s="1712" t="s">
        <v>898</v>
      </c>
      <c r="I240" s="1713" t="s">
        <v>1152</v>
      </c>
      <c r="J240" s="1510" t="s">
        <v>1440</v>
      </c>
      <c r="K240" s="1512"/>
    </row>
    <row r="241" spans="6:11">
      <c r="F241" s="1710" t="s">
        <v>1153</v>
      </c>
      <c r="G241" s="1712">
        <v>50</v>
      </c>
      <c r="H241" s="1712">
        <v>1</v>
      </c>
      <c r="I241" s="1714">
        <v>4750</v>
      </c>
      <c r="J241" s="1710" t="s">
        <v>899</v>
      </c>
      <c r="K241" s="1715"/>
    </row>
    <row r="242" spans="6:11">
      <c r="F242" s="1531" t="s">
        <v>1154</v>
      </c>
      <c r="G242" s="1716">
        <v>120</v>
      </c>
      <c r="H242" s="1716">
        <v>1</v>
      </c>
      <c r="I242" s="1717">
        <v>10900</v>
      </c>
      <c r="J242" s="1531"/>
      <c r="K242" s="1718"/>
    </row>
    <row r="243" spans="6:11">
      <c r="F243" s="1531" t="s">
        <v>1155</v>
      </c>
      <c r="G243" s="1716">
        <v>85</v>
      </c>
      <c r="H243" s="1716">
        <v>0.8</v>
      </c>
      <c r="I243" s="1717">
        <v>6130</v>
      </c>
      <c r="J243" s="1531"/>
      <c r="K243" s="1718"/>
    </row>
    <row r="244" spans="6:11">
      <c r="F244" s="1531" t="s">
        <v>1156</v>
      </c>
      <c r="G244" s="1716">
        <v>300</v>
      </c>
      <c r="H244" s="1716">
        <v>1</v>
      </c>
      <c r="I244" s="1717">
        <v>10000</v>
      </c>
      <c r="J244" s="1531"/>
      <c r="K244" s="1718"/>
    </row>
    <row r="245" spans="6:11">
      <c r="F245" s="1719" t="s">
        <v>1157</v>
      </c>
      <c r="G245" s="1720">
        <v>1700</v>
      </c>
      <c r="H245" s="1720">
        <v>0.6</v>
      </c>
      <c r="I245" s="1721">
        <v>7370</v>
      </c>
      <c r="J245" s="1719"/>
      <c r="K245" s="1722"/>
    </row>
    <row r="246" spans="6:11">
      <c r="F246" s="1710" t="s">
        <v>1158</v>
      </c>
      <c r="G246" s="1712">
        <v>13.3</v>
      </c>
      <c r="H246" s="1712">
        <v>5.5E-2</v>
      </c>
      <c r="I246" s="1714">
        <v>1810</v>
      </c>
      <c r="J246" s="1710" t="s">
        <v>900</v>
      </c>
      <c r="K246" s="1715"/>
    </row>
    <row r="247" spans="6:11">
      <c r="F247" s="1531" t="s">
        <v>1159</v>
      </c>
      <c r="G247" s="1716">
        <v>1.4</v>
      </c>
      <c r="H247" s="1716" t="s">
        <v>901</v>
      </c>
      <c r="I247" s="1717">
        <v>77</v>
      </c>
      <c r="J247" s="1531"/>
      <c r="K247" s="1718"/>
    </row>
    <row r="248" spans="6:11">
      <c r="F248" s="1531" t="s">
        <v>1992</v>
      </c>
      <c r="G248" s="1716">
        <v>5.9</v>
      </c>
      <c r="H248" s="1716">
        <v>2.1999999999999999E-2</v>
      </c>
      <c r="I248" s="1717">
        <v>609</v>
      </c>
      <c r="J248" s="1531"/>
      <c r="K248" s="1718"/>
    </row>
    <row r="249" spans="6:11">
      <c r="F249" s="1531" t="s">
        <v>1993</v>
      </c>
      <c r="G249" s="1716">
        <v>9.4</v>
      </c>
      <c r="H249" s="1716">
        <v>0.11</v>
      </c>
      <c r="I249" s="1717">
        <v>725</v>
      </c>
      <c r="J249" s="1531"/>
      <c r="K249" s="1718"/>
    </row>
    <row r="250" spans="6:11">
      <c r="F250" s="1531" t="s">
        <v>1994</v>
      </c>
      <c r="G250" s="1716">
        <v>19.5</v>
      </c>
      <c r="H250" s="1716">
        <v>6.5000000000000002E-2</v>
      </c>
      <c r="I250" s="1717">
        <v>2310</v>
      </c>
      <c r="J250" s="1531"/>
      <c r="K250" s="1718"/>
    </row>
    <row r="251" spans="6:11">
      <c r="F251" s="1531" t="s">
        <v>1995</v>
      </c>
      <c r="G251" s="1716">
        <v>2.5</v>
      </c>
      <c r="H251" s="1716">
        <v>0.25</v>
      </c>
      <c r="I251" s="1717">
        <v>122</v>
      </c>
      <c r="J251" s="1531"/>
      <c r="K251" s="1718"/>
    </row>
    <row r="252" spans="6:11">
      <c r="F252" s="1719" t="s">
        <v>1996</v>
      </c>
      <c r="G252" s="1720">
        <v>2.6</v>
      </c>
      <c r="H252" s="1720">
        <v>3.3000000000000002E-2</v>
      </c>
      <c r="I252" s="1721">
        <v>595</v>
      </c>
      <c r="J252" s="1719"/>
      <c r="K252" s="1722"/>
    </row>
    <row r="253" spans="6:11">
      <c r="F253" s="1710" t="s">
        <v>1997</v>
      </c>
      <c r="G253" s="1712">
        <v>264</v>
      </c>
      <c r="H253" s="1712">
        <v>0</v>
      </c>
      <c r="I253" s="1714">
        <v>14800</v>
      </c>
      <c r="J253" s="1710" t="s">
        <v>1998</v>
      </c>
      <c r="K253" s="1715"/>
    </row>
    <row r="254" spans="6:11">
      <c r="F254" s="1531" t="s">
        <v>1999</v>
      </c>
      <c r="G254" s="1716">
        <v>5.6</v>
      </c>
      <c r="H254" s="1716"/>
      <c r="I254" s="1717">
        <v>675</v>
      </c>
      <c r="J254" s="1531"/>
      <c r="K254" s="1718"/>
    </row>
    <row r="255" spans="6:11">
      <c r="F255" s="1531" t="s">
        <v>2000</v>
      </c>
      <c r="G255" s="1716">
        <v>32.6</v>
      </c>
      <c r="H255" s="1716"/>
      <c r="I255" s="1717">
        <v>3500</v>
      </c>
      <c r="J255" s="1531"/>
      <c r="K255" s="1718"/>
    </row>
    <row r="256" spans="6:11">
      <c r="F256" s="1531" t="s">
        <v>2001</v>
      </c>
      <c r="G256" s="1716">
        <v>14.6</v>
      </c>
      <c r="H256" s="1716"/>
      <c r="I256" s="1717">
        <v>1430</v>
      </c>
      <c r="J256" s="1531"/>
      <c r="K256" s="1718"/>
    </row>
    <row r="257" spans="6:11">
      <c r="F257" s="1531" t="s">
        <v>2002</v>
      </c>
      <c r="G257" s="1716">
        <v>48.3</v>
      </c>
      <c r="H257" s="1716"/>
      <c r="I257" s="1717">
        <v>4470</v>
      </c>
      <c r="J257" s="1531"/>
      <c r="K257" s="1718"/>
    </row>
    <row r="258" spans="6:11">
      <c r="F258" s="1531" t="s">
        <v>2003</v>
      </c>
      <c r="G258" s="1716">
        <v>1.5</v>
      </c>
      <c r="H258" s="1716"/>
      <c r="I258" s="1717">
        <v>124</v>
      </c>
      <c r="J258" s="1531"/>
      <c r="K258" s="1718"/>
    </row>
    <row r="259" spans="6:11">
      <c r="F259" s="1531" t="s">
        <v>2004</v>
      </c>
      <c r="G259" s="1716">
        <v>36.5</v>
      </c>
      <c r="H259" s="1716"/>
      <c r="I259" s="1717">
        <v>3220</v>
      </c>
      <c r="J259" s="1531"/>
      <c r="K259" s="1718"/>
    </row>
    <row r="260" spans="6:11">
      <c r="F260" s="1531" t="s">
        <v>2005</v>
      </c>
      <c r="G260" s="1716">
        <v>209</v>
      </c>
      <c r="H260" s="1716"/>
      <c r="I260" s="1717">
        <v>9810</v>
      </c>
      <c r="J260" s="1531"/>
      <c r="K260" s="1718"/>
    </row>
    <row r="261" spans="6:11">
      <c r="F261" s="1719" t="s">
        <v>1496</v>
      </c>
      <c r="G261" s="1720">
        <v>6.6</v>
      </c>
      <c r="H261" s="1720"/>
      <c r="I261" s="1721">
        <v>560</v>
      </c>
      <c r="J261" s="1719"/>
      <c r="K261" s="1722"/>
    </row>
    <row r="262" spans="6:11">
      <c r="F262" s="1710" t="s">
        <v>1497</v>
      </c>
      <c r="G262" s="1714">
        <v>50000</v>
      </c>
      <c r="H262" s="1712">
        <v>0</v>
      </c>
      <c r="I262" s="1714">
        <v>6500</v>
      </c>
      <c r="J262" s="1710" t="s">
        <v>902</v>
      </c>
      <c r="K262" s="1715"/>
    </row>
    <row r="263" spans="6:11">
      <c r="F263" s="1531" t="s">
        <v>1498</v>
      </c>
      <c r="G263" s="1717">
        <v>10000</v>
      </c>
      <c r="H263" s="1716"/>
      <c r="I263" s="1717">
        <v>9200</v>
      </c>
      <c r="J263" s="1531"/>
      <c r="K263" s="1718"/>
    </row>
    <row r="264" spans="6:11">
      <c r="F264" s="1531" t="s">
        <v>1499</v>
      </c>
      <c r="G264" s="1717">
        <v>2600</v>
      </c>
      <c r="H264" s="1716"/>
      <c r="I264" s="1717">
        <v>7000</v>
      </c>
      <c r="J264" s="1531"/>
      <c r="K264" s="1718"/>
    </row>
    <row r="265" spans="6:11">
      <c r="F265" s="1719" t="s">
        <v>1500</v>
      </c>
      <c r="G265" s="1721">
        <v>3200</v>
      </c>
      <c r="H265" s="1720"/>
      <c r="I265" s="1721">
        <v>8700</v>
      </c>
      <c r="J265" s="1719"/>
      <c r="K265" s="1722"/>
    </row>
    <row r="266" spans="6:11"/>
    <row r="267" spans="6:11"/>
    <row r="268" spans="6:11"/>
    <row r="269" spans="6:11"/>
  </sheetData>
  <sheetProtection password="9DA9" sheet="1" objects="1" scenarios="1"/>
  <mergeCells count="33">
    <mergeCell ref="G34:J34"/>
    <mergeCell ref="H36:J36"/>
    <mergeCell ref="G30:J30"/>
    <mergeCell ref="G31:J31"/>
    <mergeCell ref="G32:J32"/>
    <mergeCell ref="G33:J33"/>
    <mergeCell ref="H38:J40"/>
    <mergeCell ref="G41:G43"/>
    <mergeCell ref="G44:G45"/>
    <mergeCell ref="H44:J45"/>
    <mergeCell ref="K44:N44"/>
    <mergeCell ref="G203:I203"/>
    <mergeCell ref="J203:J207"/>
    <mergeCell ref="L207:O207"/>
    <mergeCell ref="K30:L34"/>
    <mergeCell ref="N32:O32"/>
    <mergeCell ref="N34:O34"/>
    <mergeCell ref="K92:O92"/>
    <mergeCell ref="H46:J46"/>
    <mergeCell ref="N61:O65"/>
    <mergeCell ref="K67:O67"/>
    <mergeCell ref="G206:I206"/>
    <mergeCell ref="L206:O206"/>
    <mergeCell ref="N86:O90"/>
    <mergeCell ref="N145:O149"/>
    <mergeCell ref="G176:G177"/>
    <mergeCell ref="G38:G40"/>
    <mergeCell ref="G212:J212"/>
    <mergeCell ref="K212:K216"/>
    <mergeCell ref="G213:J213"/>
    <mergeCell ref="G214:J214"/>
    <mergeCell ref="G215:J215"/>
    <mergeCell ref="G216:J216"/>
  </mergeCells>
  <phoneticPr fontId="21"/>
  <conditionalFormatting sqref="L67 L92">
    <cfRule type="expression" dxfId="29" priority="1" stopIfTrue="1">
      <formula>P59&gt;0</formula>
    </cfRule>
  </conditionalFormatting>
  <conditionalFormatting sqref="O67 O92">
    <cfRule type="expression" dxfId="28" priority="2" stopIfTrue="1">
      <formula>Q59&gt;0</formula>
    </cfRule>
  </conditionalFormatting>
  <conditionalFormatting sqref="K18 K202">
    <cfRule type="expression" dxfId="27" priority="3" stopIfTrue="1">
      <formula>AND(OR(K18&lt;1,K18&gt;5),K18&lt;&gt;0)</formula>
    </cfRule>
    <cfRule type="expression" dxfId="26" priority="4" stopIfTrue="1">
      <formula>$O17&gt;0</formula>
    </cfRule>
  </conditionalFormatting>
  <conditionalFormatting sqref="K67 K92">
    <cfRule type="expression" dxfId="25" priority="5" stopIfTrue="1">
      <formula>J59&gt;0</formula>
    </cfRule>
  </conditionalFormatting>
  <conditionalFormatting sqref="G161:G164">
    <cfRule type="expression" dxfId="24" priority="6" stopIfTrue="1">
      <formula>$J$152&gt;0.001</formula>
    </cfRule>
  </conditionalFormatting>
  <conditionalFormatting sqref="G178:G197">
    <cfRule type="expression" dxfId="23" priority="7" stopIfTrue="1">
      <formula>$J$168&gt;0</formula>
    </cfRule>
  </conditionalFormatting>
  <conditionalFormatting sqref="F8 F18 F51 F60 F85 F144 F202 F211">
    <cfRule type="expression" dxfId="22" priority="8" stopIfTrue="1">
      <formula>AND(OR(F8&lt;1,F8&gt;5),F8&lt;&gt;0)</formula>
    </cfRule>
    <cfRule type="expression" dxfId="21" priority="9" stopIfTrue="1">
      <formula>$J7&gt;0</formula>
    </cfRule>
  </conditionalFormatting>
  <conditionalFormatting sqref="M92:N92 M67:N67">
    <cfRule type="expression" dxfId="20" priority="10" stopIfTrue="1">
      <formula>#REF!&gt;0</formula>
    </cfRule>
  </conditionalFormatting>
  <conditionalFormatting sqref="G37">
    <cfRule type="expression" dxfId="19" priority="11" stopIfTrue="1">
      <formula>$G$37&lt;&gt;""</formula>
    </cfRule>
  </conditionalFormatting>
  <conditionalFormatting sqref="G38:G45">
    <cfRule type="expression" dxfId="18" priority="12" stopIfTrue="1">
      <formula>$G$37=$R$3</formula>
    </cfRule>
    <cfRule type="expression" dxfId="17" priority="13" stopIfTrue="1">
      <formula>$O$28&gt;0.001</formula>
    </cfRule>
  </conditionalFormatting>
  <dataValidations count="7">
    <dataValidation type="list" allowBlank="1" showInputMessage="1" sqref="K18 K202 M29">
      <formula1>$C19:$C24</formula1>
    </dataValidation>
    <dataValidation type="list" allowBlank="1" showInputMessage="1" showErrorMessage="1" sqref="G161:G164">
      <formula1>"○,　"</formula1>
    </dataValidation>
    <dataValidation type="list" allowBlank="1" showInputMessage="1" showErrorMessage="1" sqref="G178:G197">
      <formula1>"　,無"</formula1>
    </dataValidation>
    <dataValidation type="list" allowBlank="1" showInputMessage="1" sqref="F8 F18 F51 F60 F85 F144 F202 F211">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$R$2:$R$3</formula1>
    </dataValidation>
  </dataValidations>
  <printOptions horizontalCentered="1"/>
  <pageMargins left="0.59055118110236227" right="0.59055118110236227" top="0.78740157480314965" bottom="0.59055118110236227" header="0.51181102362204722" footer="0.51181102362204722"/>
  <pageSetup paperSize="9" scale="67" fitToHeight="9" orientation="portrait" verticalDpi="4294967293" r:id="rId1"/>
  <headerFooter alignWithMargins="0">
    <oddHeader>&amp;L&amp;F&amp;R&amp;A</oddHeader>
    <oddFooter>&amp;C&amp;P/&amp;N</oddFooter>
  </headerFooter>
  <rowBreaks count="3" manualBreakCount="3">
    <brk id="57" min="2" max="15" man="1"/>
    <brk id="141" min="2" max="15" man="1"/>
    <brk id="198" min="2"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Y281"/>
  <sheetViews>
    <sheetView showGridLines="0" zoomScaleNormal="100" zoomScaleSheetLayoutView="100" workbookViewId="0"/>
  </sheetViews>
  <sheetFormatPr defaultColWidth="0" defaultRowHeight="13.5" zeroHeight="1"/>
  <cols>
    <col min="1" max="1" width="1.875" customWidth="1"/>
    <col min="2" max="2" width="18.625" hidden="1" customWidth="1"/>
    <col min="3" max="3" width="6" hidden="1" customWidth="1"/>
    <col min="4" max="4" width="5.25" style="2203" customWidth="1"/>
    <col min="5" max="5" width="1.875" style="2203" customWidth="1"/>
    <col min="6" max="6" width="11.375" style="2203" customWidth="1"/>
    <col min="7" max="15" width="11.625" style="2203" customWidth="1"/>
    <col min="16" max="16" width="2.25" customWidth="1"/>
    <col min="17" max="17" width="2" hidden="1" customWidth="1"/>
    <col min="18" max="18" width="16.25" hidden="1" customWidth="1"/>
    <col min="19" max="19" width="2.5" hidden="1" customWidth="1"/>
    <col min="20" max="20" width="6.375" hidden="1" customWidth="1"/>
    <col min="21" max="21" width="9.125" hidden="1" customWidth="1"/>
    <col min="22" max="22" width="9.625" hidden="1" customWidth="1"/>
    <col min="23" max="23" width="3.5" hidden="1" customWidth="1"/>
    <col min="24" max="24" width="0" hidden="1" customWidth="1"/>
    <col min="25" max="25" width="10.5" hidden="1" customWidth="1"/>
  </cols>
  <sheetData>
    <row r="1" spans="4:21" ht="14.25">
      <c r="D1" s="1741"/>
      <c r="E1" s="1021"/>
      <c r="F1" s="1021"/>
      <c r="G1" s="1021"/>
      <c r="H1" s="1021"/>
      <c r="I1" s="1021"/>
      <c r="J1" s="1021"/>
      <c r="K1" s="1021"/>
      <c r="M1" s="1723" t="s">
        <v>2952</v>
      </c>
      <c r="N1" s="1023" t="str">
        <f>メイン!C11</f>
        <v>○○ビル</v>
      </c>
      <c r="O1" s="1024"/>
    </row>
    <row r="2" spans="4:21" ht="6" customHeight="1" thickBot="1">
      <c r="D2" s="1020"/>
      <c r="E2" s="1181"/>
      <c r="F2" s="1181"/>
      <c r="G2" s="1181"/>
      <c r="H2" s="1181"/>
      <c r="I2" s="1181"/>
      <c r="J2" s="1181"/>
      <c r="K2" s="1181"/>
      <c r="L2" s="1181"/>
      <c r="O2" s="1181"/>
    </row>
    <row r="3" spans="4:21" ht="18.75" thickBot="1">
      <c r="D3" s="1535" t="s">
        <v>1272</v>
      </c>
      <c r="E3" s="1424"/>
      <c r="F3" s="2227"/>
      <c r="G3" s="1026"/>
      <c r="H3" s="2227"/>
      <c r="I3" s="1028"/>
      <c r="J3" s="1029" t="s">
        <v>2827</v>
      </c>
      <c r="K3" s="1029"/>
      <c r="L3" s="2228"/>
      <c r="O3" s="1464" t="str">
        <f>IF(メイン!E39=0,"",メイン!E39)</f>
        <v>基本設計段階</v>
      </c>
      <c r="R3" t="s">
        <v>1450</v>
      </c>
      <c r="U3" t="str">
        <f>メイン!I39</f>
        <v>基本設計段階</v>
      </c>
    </row>
    <row r="4" spans="4:21" ht="6" customHeight="1">
      <c r="D4" s="1025"/>
      <c r="E4" s="1424"/>
      <c r="F4" s="2227"/>
      <c r="G4" s="1026"/>
      <c r="H4" s="2227"/>
      <c r="I4" s="2227"/>
      <c r="J4" s="2227"/>
      <c r="K4" s="2227"/>
      <c r="L4" s="2227"/>
      <c r="M4" s="2227"/>
      <c r="N4" s="2227"/>
      <c r="O4" s="2227"/>
      <c r="R4">
        <v>0</v>
      </c>
      <c r="T4" t="s">
        <v>1493</v>
      </c>
      <c r="U4" t="str">
        <f>メイン!I40</f>
        <v>実施設計段階</v>
      </c>
    </row>
    <row r="5" spans="4:21" ht="22.5" customHeight="1">
      <c r="D5" s="1465">
        <v>1</v>
      </c>
      <c r="E5" s="1032" t="s">
        <v>2880</v>
      </c>
      <c r="F5" s="2206"/>
      <c r="G5" s="1260"/>
      <c r="H5" s="1260"/>
      <c r="I5" s="1260"/>
      <c r="J5" s="1260"/>
      <c r="K5" s="1260"/>
      <c r="L5" s="1260"/>
      <c r="M5" s="1260"/>
      <c r="N5" s="1260"/>
      <c r="O5" s="2228"/>
      <c r="R5">
        <v>1</v>
      </c>
      <c r="U5" t="str">
        <f>メイン!I41</f>
        <v>竣工段階</v>
      </c>
    </row>
    <row r="6" spans="4:21" ht="18.75" customHeight="1" thickBot="1">
      <c r="D6" s="1724"/>
      <c r="E6" s="1260"/>
      <c r="F6" s="1185"/>
      <c r="G6" s="1043"/>
      <c r="H6" s="1044" t="s">
        <v>1484</v>
      </c>
      <c r="I6" s="1045"/>
      <c r="J6" s="1046">
        <f>重み!M160</f>
        <v>0.33333333333333331</v>
      </c>
      <c r="K6" s="1186"/>
      <c r="L6" s="1186"/>
      <c r="M6" s="1186"/>
      <c r="N6" s="1186"/>
      <c r="O6" s="1055"/>
      <c r="R6">
        <v>2</v>
      </c>
    </row>
    <row r="7" spans="4:21" ht="16.5" thickBot="1">
      <c r="D7" s="2229"/>
      <c r="E7" s="1025"/>
      <c r="F7" s="2240">
        <f>O15</f>
        <v>3.2</v>
      </c>
      <c r="G7" s="2541" t="s">
        <v>915</v>
      </c>
      <c r="H7" s="1481"/>
      <c r="I7" s="1481"/>
      <c r="J7" s="1481"/>
      <c r="K7" s="1481"/>
      <c r="L7" s="2542"/>
      <c r="M7" s="1481"/>
      <c r="N7" s="1481"/>
      <c r="O7" s="1287"/>
      <c r="R7" t="s">
        <v>1501</v>
      </c>
    </row>
    <row r="8" spans="4:21" ht="17.25" customHeight="1">
      <c r="D8" s="2229"/>
      <c r="E8" s="1025"/>
      <c r="F8" s="1269" t="str">
        <f>IF(F7=$S$15,$T$10,IF(ROUNDDOWN(F7,0)=$S$10,$U$10,$T$10))</f>
        <v>　レベル　1</v>
      </c>
      <c r="G8" s="2538" t="s">
        <v>1502</v>
      </c>
      <c r="H8" s="2539"/>
      <c r="I8" s="2539"/>
      <c r="J8" s="2539"/>
      <c r="K8" s="2539"/>
      <c r="L8" s="2543"/>
      <c r="M8" s="2539"/>
      <c r="N8" s="1686"/>
      <c r="O8" s="1687"/>
      <c r="R8" t="s">
        <v>1409</v>
      </c>
    </row>
    <row r="9" spans="4:21" ht="17.25" customHeight="1">
      <c r="D9" s="2229"/>
      <c r="E9" s="1025"/>
      <c r="F9" s="1269" t="str">
        <f>IF(F7=$S$15,$T$11,IF(ROUNDDOWN(F7,0)=$S$11,$U$11,$T$11))</f>
        <v>　レベル　2</v>
      </c>
      <c r="G9" s="2544"/>
      <c r="H9" s="2537"/>
      <c r="I9" s="2537"/>
      <c r="J9" s="2537"/>
      <c r="K9" s="2537"/>
      <c r="L9" s="2545"/>
      <c r="M9" s="2537"/>
      <c r="N9" s="1705" t="s">
        <v>1135</v>
      </c>
      <c r="O9" s="1706"/>
    </row>
    <row r="10" spans="4:21" ht="17.25" customHeight="1">
      <c r="D10" s="2229"/>
      <c r="E10" s="1025"/>
      <c r="F10" s="1269" t="str">
        <f>IF(F7=$S$15,$T$12,IF(ROUNDDOWN(F7,0)=$S$12,$U$12,$T$12))</f>
        <v>■レベル　3</v>
      </c>
      <c r="G10" s="2544" t="s">
        <v>1503</v>
      </c>
      <c r="H10" s="2537"/>
      <c r="I10" s="2537"/>
      <c r="J10" s="2537"/>
      <c r="K10" s="2537"/>
      <c r="L10" s="2545"/>
      <c r="M10" s="2537"/>
      <c r="N10" s="1705" t="s">
        <v>1136</v>
      </c>
      <c r="O10" s="1706"/>
      <c r="S10">
        <v>1</v>
      </c>
      <c r="T10" t="s">
        <v>2843</v>
      </c>
      <c r="U10" t="s">
        <v>2844</v>
      </c>
    </row>
    <row r="11" spans="4:21" ht="17.25" customHeight="1">
      <c r="D11" s="2229"/>
      <c r="E11" s="1025"/>
      <c r="F11" s="1269" t="str">
        <f>IF(F7=$S$15,$T$13,IF(ROUNDDOWN(F7,0)=$S$13,$U$13,$T$13))</f>
        <v>　レベル　4</v>
      </c>
      <c r="G11" s="2544"/>
      <c r="H11" s="2537"/>
      <c r="I11" s="2537"/>
      <c r="J11" s="2537"/>
      <c r="K11" s="2537"/>
      <c r="L11" s="2545"/>
      <c r="M11" s="2537"/>
      <c r="N11" s="1705" t="s">
        <v>1137</v>
      </c>
      <c r="O11" s="1706"/>
      <c r="S11">
        <v>2</v>
      </c>
      <c r="T11" t="s">
        <v>1451</v>
      </c>
      <c r="U11" t="s">
        <v>1452</v>
      </c>
    </row>
    <row r="12" spans="4:21" ht="17.25" customHeight="1">
      <c r="D12" s="2229"/>
      <c r="E12" s="1025"/>
      <c r="F12" s="1270" t="str">
        <f>IF(F7=$S$15,$T$14,IF(ROUNDDOWN(F7,0)=$S$14,$U$14,$T$14))</f>
        <v>　レベル　5</v>
      </c>
      <c r="G12" s="2546" t="s">
        <v>1141</v>
      </c>
      <c r="H12" s="2540"/>
      <c r="I12" s="2540"/>
      <c r="J12" s="2540"/>
      <c r="K12" s="2540"/>
      <c r="L12" s="2547"/>
      <c r="M12" s="2540"/>
      <c r="N12" s="1691"/>
      <c r="O12" s="1692"/>
      <c r="S12">
        <v>3</v>
      </c>
      <c r="T12" t="s">
        <v>1457</v>
      </c>
      <c r="U12" t="s">
        <v>1458</v>
      </c>
    </row>
    <row r="13" spans="4:21" ht="15.75">
      <c r="D13" s="2229"/>
      <c r="E13" s="2229"/>
      <c r="F13" s="2229"/>
      <c r="G13" s="1727" t="s">
        <v>1494</v>
      </c>
      <c r="H13" s="1410"/>
      <c r="I13" s="1410"/>
      <c r="J13" s="1181"/>
      <c r="K13" s="1728" t="s">
        <v>1495</v>
      </c>
      <c r="L13" s="1181"/>
      <c r="M13" s="1729"/>
      <c r="N13" s="2229"/>
      <c r="O13" s="2229"/>
      <c r="S13">
        <v>4</v>
      </c>
      <c r="T13" t="s">
        <v>1335</v>
      </c>
      <c r="U13" t="s">
        <v>1336</v>
      </c>
    </row>
    <row r="14" spans="4:21" ht="16.5" thickBot="1">
      <c r="D14" s="2229"/>
      <c r="E14" s="1025"/>
      <c r="F14" s="1021"/>
      <c r="G14" s="1730"/>
      <c r="H14" s="1731" t="s">
        <v>801</v>
      </c>
      <c r="I14" s="1732" t="s">
        <v>2358</v>
      </c>
      <c r="J14" s="1733" t="s">
        <v>803</v>
      </c>
      <c r="K14" s="1731" t="s">
        <v>530</v>
      </c>
      <c r="L14" s="1730" t="s">
        <v>1142</v>
      </c>
      <c r="M14" s="1021"/>
      <c r="N14" s="1021"/>
      <c r="O14" s="1734" t="s">
        <v>1330</v>
      </c>
      <c r="S14">
        <v>5</v>
      </c>
      <c r="T14" t="s">
        <v>1342</v>
      </c>
      <c r="U14" t="s">
        <v>1343</v>
      </c>
    </row>
    <row r="15" spans="4:21" ht="16.5" thickBot="1">
      <c r="D15" s="2229"/>
      <c r="E15" s="1025"/>
      <c r="F15" s="1021"/>
      <c r="G15" s="1735" t="s">
        <v>2617</v>
      </c>
      <c r="H15" s="1736">
        <f>CO2計算!O133</f>
        <v>13.23</v>
      </c>
      <c r="I15" s="1736">
        <f>CO2計算!O134</f>
        <v>16.456</v>
      </c>
      <c r="J15" s="1736">
        <f>CO2計算!O135</f>
        <v>82.100429508196726</v>
      </c>
      <c r="K15" s="1737">
        <f>CO2計算!O136</f>
        <v>111.78642950819673</v>
      </c>
      <c r="L15" s="1738">
        <v>1</v>
      </c>
      <c r="M15" s="1021"/>
      <c r="N15" s="1734" t="s">
        <v>1143</v>
      </c>
      <c r="O15" s="1739">
        <f>ROUNDDOWN(IF(L16=R16,0,IF(L16&lt;0.5,5,IF(L16&gt;1.25,1,IF(L16&gt;1,-8*L16+11,3+(1-L16)*4)))),1)</f>
        <v>3.2</v>
      </c>
      <c r="S15">
        <v>0</v>
      </c>
      <c r="T15" t="s">
        <v>1331</v>
      </c>
      <c r="U15" t="s">
        <v>1331</v>
      </c>
    </row>
    <row r="16" spans="4:21" ht="14.25">
      <c r="D16" s="1741"/>
      <c r="E16" s="1021"/>
      <c r="F16" s="1021"/>
      <c r="G16" s="1735" t="s">
        <v>2616</v>
      </c>
      <c r="H16" s="1736">
        <f>CO2計算!L133</f>
        <v>13.23</v>
      </c>
      <c r="I16" s="1736">
        <f>CO2計算!L134</f>
        <v>16.456</v>
      </c>
      <c r="J16" s="1736">
        <f>CO2計算!L135</f>
        <v>73.890386557377056</v>
      </c>
      <c r="K16" s="1737">
        <f>CO2計算!L136</f>
        <v>103.57638655737705</v>
      </c>
      <c r="L16" s="1740">
        <f>IF(K15=R16,R16,K16/K15)</f>
        <v>0.92655599622476825</v>
      </c>
      <c r="M16" s="1021"/>
      <c r="N16" s="1021"/>
      <c r="O16" s="1021"/>
      <c r="R16" t="s">
        <v>1332</v>
      </c>
    </row>
    <row r="17" spans="2:15" ht="13.5" customHeight="1">
      <c r="D17" s="577"/>
      <c r="E17" s="577"/>
      <c r="F17" s="577"/>
      <c r="G17" s="577"/>
      <c r="H17" s="577"/>
      <c r="I17" s="577"/>
      <c r="J17" s="577"/>
      <c r="K17" s="577"/>
      <c r="L17" s="577"/>
      <c r="M17" s="577"/>
      <c r="N17" s="577"/>
      <c r="O17" s="577"/>
    </row>
    <row r="18" spans="2:15" ht="18.75" customHeight="1">
      <c r="D18" s="1741">
        <v>2</v>
      </c>
      <c r="E18" s="1032" t="s">
        <v>2883</v>
      </c>
      <c r="F18" s="1021"/>
      <c r="G18" s="1021"/>
      <c r="H18" s="1021"/>
      <c r="I18" s="1021"/>
      <c r="J18" s="1021"/>
      <c r="K18" s="1021"/>
      <c r="L18" s="1021"/>
      <c r="M18" s="1021"/>
      <c r="N18" s="1021"/>
      <c r="O18" s="1021"/>
    </row>
    <row r="19" spans="2:15" ht="18.75" customHeight="1">
      <c r="D19" s="1742">
        <v>2.1</v>
      </c>
      <c r="E19" s="1424" t="s">
        <v>1144</v>
      </c>
      <c r="F19" s="2206"/>
      <c r="G19" s="1021"/>
      <c r="H19" s="1021"/>
      <c r="I19" s="1021"/>
      <c r="J19" s="1021"/>
      <c r="K19" s="1021"/>
      <c r="L19" s="1021"/>
      <c r="M19" s="1021"/>
      <c r="N19" s="1021"/>
      <c r="O19" s="1021"/>
    </row>
    <row r="20" spans="2:15" ht="18.75" customHeight="1" thickBot="1">
      <c r="F20" s="1185"/>
      <c r="G20" s="1043"/>
      <c r="H20" s="1044" t="s">
        <v>1484</v>
      </c>
      <c r="I20" s="1045"/>
      <c r="J20" s="1046">
        <f>重み!M162</f>
        <v>0.25</v>
      </c>
      <c r="K20" s="1186"/>
      <c r="L20" s="1186"/>
      <c r="M20" s="1186"/>
      <c r="N20" s="1186"/>
      <c r="O20" s="1055"/>
    </row>
    <row r="21" spans="2:15" ht="26.25" customHeight="1" thickBot="1">
      <c r="D21" s="1025"/>
      <c r="E21" s="1025"/>
      <c r="F21" s="1049">
        <v>3</v>
      </c>
      <c r="G21" s="1053" t="s">
        <v>556</v>
      </c>
      <c r="H21" s="1054"/>
      <c r="I21" s="1054"/>
      <c r="J21" s="1054"/>
      <c r="K21" s="1054"/>
      <c r="L21" s="1389"/>
      <c r="M21" s="1054"/>
      <c r="N21" s="1054"/>
      <c r="O21" s="1055"/>
    </row>
    <row r="22" spans="2:15" ht="33" customHeight="1">
      <c r="B22" s="1">
        <v>1</v>
      </c>
      <c r="C22" s="1">
        <v>1</v>
      </c>
      <c r="D22" s="1025"/>
      <c r="E22" s="1025"/>
      <c r="F22" s="1061" t="str">
        <f>IF(F21=$S$15,$T$10,IF(ROUNDDOWN(F21,0)=$S$10,$U$10,$T$10))</f>
        <v>　レベル　1</v>
      </c>
      <c r="G22" s="3028" t="s">
        <v>484</v>
      </c>
      <c r="H22" s="3207"/>
      <c r="I22" s="3207"/>
      <c r="J22" s="3207"/>
      <c r="K22" s="3207"/>
      <c r="L22" s="3207"/>
      <c r="M22" s="3207"/>
      <c r="N22" s="3207"/>
      <c r="O22" s="3208"/>
    </row>
    <row r="23" spans="2:15" ht="18.75" customHeight="1">
      <c r="B23" s="1" t="s">
        <v>242</v>
      </c>
      <c r="C23" s="1">
        <v>2</v>
      </c>
      <c r="D23" s="1025"/>
      <c r="E23" s="1025"/>
      <c r="F23" s="1061" t="str">
        <f>IF(F21=$S$15,$T$11,IF(ROUNDDOWN(F21,0)=$S$11,$U$11,$T$11))</f>
        <v>　レベル　2</v>
      </c>
      <c r="G23" s="1725" t="s">
        <v>2365</v>
      </c>
      <c r="H23" s="2504"/>
      <c r="I23" s="2504"/>
      <c r="J23" s="2504"/>
      <c r="K23" s="2504"/>
      <c r="L23" s="2504"/>
      <c r="M23" s="2504"/>
      <c r="N23" s="1066"/>
      <c r="O23" s="1067"/>
    </row>
    <row r="24" spans="2:15" ht="28.5" customHeight="1">
      <c r="B24" s="1">
        <v>3</v>
      </c>
      <c r="C24" s="1">
        <v>3</v>
      </c>
      <c r="D24" s="1025"/>
      <c r="E24" s="1025"/>
      <c r="F24" s="1061" t="str">
        <f>IF(F21=$S$15,$T$12,IF(ROUNDDOWN(F21,0)=$S$12,$U$12,$T$12))</f>
        <v>■レベル　3</v>
      </c>
      <c r="G24" s="3329" t="s">
        <v>485</v>
      </c>
      <c r="H24" s="2923"/>
      <c r="I24" s="2923"/>
      <c r="J24" s="2923"/>
      <c r="K24" s="2923"/>
      <c r="L24" s="2923"/>
      <c r="M24" s="2923"/>
      <c r="N24" s="2923"/>
      <c r="O24" s="2924"/>
    </row>
    <row r="25" spans="2:15" ht="27" customHeight="1">
      <c r="B25" s="1">
        <v>4</v>
      </c>
      <c r="C25" s="1">
        <v>4</v>
      </c>
      <c r="D25" s="1025"/>
      <c r="E25" s="1025"/>
      <c r="F25" s="1061" t="str">
        <f>IF(F21=$S$15,$T$13,IF(ROUNDDOWN(F21,0)=$S$13,$U$13,$T$13))</f>
        <v>　レベル　4</v>
      </c>
      <c r="G25" s="3329" t="s">
        <v>486</v>
      </c>
      <c r="H25" s="2923"/>
      <c r="I25" s="2923"/>
      <c r="J25" s="2923"/>
      <c r="K25" s="2923"/>
      <c r="L25" s="2923"/>
      <c r="M25" s="2923"/>
      <c r="N25" s="2923"/>
      <c r="O25" s="2924"/>
    </row>
    <row r="26" spans="2:15" ht="22.5" customHeight="1">
      <c r="B26" s="1">
        <v>5</v>
      </c>
      <c r="C26" s="1">
        <v>5</v>
      </c>
      <c r="D26" s="1025"/>
      <c r="E26" s="1025"/>
      <c r="F26" s="1072" t="str">
        <f>IF(F21=$S$15,$T$14,IF(ROUNDDOWN(F21,0)=$S$14,$U$14,$T$14))</f>
        <v>　レベル　5</v>
      </c>
      <c r="G26" s="1726" t="s">
        <v>1311</v>
      </c>
      <c r="H26" s="2505"/>
      <c r="I26" s="2505"/>
      <c r="J26" s="2505"/>
      <c r="K26" s="2505"/>
      <c r="L26" s="2505"/>
      <c r="M26" s="2505"/>
      <c r="N26" s="1077"/>
      <c r="O26" s="1078"/>
    </row>
    <row r="27" spans="2:15" ht="15.75">
      <c r="B27" s="1079">
        <v>0</v>
      </c>
      <c r="C27" s="1079">
        <v>0</v>
      </c>
      <c r="D27" s="1025"/>
      <c r="E27" s="1025"/>
      <c r="F27" s="1743"/>
      <c r="G27" s="1743"/>
      <c r="H27" s="1743"/>
      <c r="I27" s="1743"/>
      <c r="J27" s="1743"/>
      <c r="K27" s="1743"/>
      <c r="L27" s="1743"/>
      <c r="M27" s="1743"/>
      <c r="N27" s="1743"/>
      <c r="O27" s="1743"/>
    </row>
    <row r="28" spans="2:15" ht="24" customHeight="1">
      <c r="D28" s="1742">
        <v>2.2000000000000002</v>
      </c>
      <c r="E28" s="1478" t="s">
        <v>1145</v>
      </c>
      <c r="F28" s="1744"/>
      <c r="G28" s="1744"/>
      <c r="H28" s="1744"/>
      <c r="I28" s="1744"/>
      <c r="J28" s="1744"/>
      <c r="K28" s="1744"/>
      <c r="L28" s="1744"/>
      <c r="M28" s="1744"/>
      <c r="N28" s="1744"/>
      <c r="O28" s="1744"/>
    </row>
    <row r="29" spans="2:15" ht="19.5" customHeight="1" thickBot="1">
      <c r="F29" s="1185"/>
      <c r="G29" s="1043"/>
      <c r="H29" s="1044" t="s">
        <v>1484</v>
      </c>
      <c r="I29" s="1045"/>
      <c r="J29" s="1046">
        <f>重み!M163</f>
        <v>0.5</v>
      </c>
      <c r="K29" s="1186"/>
      <c r="L29" s="1186"/>
      <c r="M29" s="1186"/>
      <c r="N29" s="1186"/>
      <c r="O29" s="1055"/>
    </row>
    <row r="30" spans="2:15" ht="21.75" customHeight="1" thickBot="1">
      <c r="D30" s="1025"/>
      <c r="E30" s="1021"/>
      <c r="F30" s="1421">
        <f>IF(H58&lt;=0,1,IF(H58&lt;=5,2,IF(H58&lt;=12,3,IF(H58&lt;=19,4,IF(H58&gt;=20,5)))))</f>
        <v>3</v>
      </c>
      <c r="G30" s="1053" t="s">
        <v>556</v>
      </c>
      <c r="H30" s="1054"/>
      <c r="I30" s="1054"/>
      <c r="J30" s="1054"/>
      <c r="K30" s="1054"/>
      <c r="L30" s="1389"/>
      <c r="M30" s="1054"/>
      <c r="N30" s="1054"/>
      <c r="O30" s="1055"/>
    </row>
    <row r="31" spans="2:15" ht="19.5" customHeight="1">
      <c r="D31" s="1025"/>
      <c r="E31" s="1021"/>
      <c r="F31" s="1061" t="str">
        <f>IF(F30=$S$15,$T$10,IF(ROUNDDOWN(F30,0)=$S$10,$U$10,$T$10))</f>
        <v>　レベル　1</v>
      </c>
      <c r="G31" s="1291" t="s">
        <v>1312</v>
      </c>
      <c r="H31" s="1292"/>
      <c r="I31" s="1292"/>
      <c r="J31" s="1292"/>
      <c r="K31" s="1292"/>
      <c r="L31" s="1292"/>
      <c r="M31" s="1292"/>
      <c r="N31" s="1059"/>
      <c r="O31" s="1060"/>
    </row>
    <row r="32" spans="2:15" ht="19.5" customHeight="1">
      <c r="D32" s="1025"/>
      <c r="E32" s="1021"/>
      <c r="F32" s="1061" t="str">
        <f>IF(F30=$S$15,$T$11,IF(ROUNDDOWN(F30,0)=$S$11,$U$11,$T$11))</f>
        <v>　レベル　2</v>
      </c>
      <c r="G32" s="1725" t="s">
        <v>1313</v>
      </c>
      <c r="H32" s="2230"/>
      <c r="I32" s="2230"/>
      <c r="J32" s="2230"/>
      <c r="K32" s="2230"/>
      <c r="L32" s="2230"/>
      <c r="M32" s="2230"/>
      <c r="N32" s="1066"/>
      <c r="O32" s="1067"/>
    </row>
    <row r="33" spans="2:18" ht="19.5" customHeight="1">
      <c r="D33" s="1025"/>
      <c r="E33" s="1021"/>
      <c r="F33" s="1061" t="str">
        <f>IF(F30=$S$15,$T$12,IF(ROUNDDOWN(F30,0)=$S$12,$U$12,$T$12))</f>
        <v>■レベル　3</v>
      </c>
      <c r="G33" s="1725" t="s">
        <v>2748</v>
      </c>
      <c r="H33" s="2230"/>
      <c r="I33" s="2230"/>
      <c r="J33" s="2230"/>
      <c r="K33" s="2230"/>
      <c r="L33" s="2230"/>
      <c r="M33" s="2230"/>
      <c r="N33" s="1066"/>
      <c r="O33" s="1067"/>
    </row>
    <row r="34" spans="2:18" ht="19.5" customHeight="1">
      <c r="D34" s="1025"/>
      <c r="E34" s="1021"/>
      <c r="F34" s="1061" t="str">
        <f>IF(F30=$S$15,$T$13,IF(ROUNDDOWN(F30,0)=$S$13,$U$13,$T$13))</f>
        <v>　レベル　4</v>
      </c>
      <c r="G34" s="1725" t="s">
        <v>2749</v>
      </c>
      <c r="H34" s="2230"/>
      <c r="I34" s="2230"/>
      <c r="J34" s="2230"/>
      <c r="K34" s="2230"/>
      <c r="L34" s="2230"/>
      <c r="M34" s="2230"/>
      <c r="N34" s="1066"/>
      <c r="O34" s="1067"/>
    </row>
    <row r="35" spans="2:18" ht="19.5" customHeight="1">
      <c r="D35" s="1025"/>
      <c r="E35" s="1021"/>
      <c r="F35" s="1072" t="str">
        <f>IF(F30=$S$15,$T$14,IF(ROUNDDOWN(F30,0)=$S$14,$U$14,$T$14))</f>
        <v>　レベル　5</v>
      </c>
      <c r="G35" s="1726" t="s">
        <v>2750</v>
      </c>
      <c r="H35" s="2231"/>
      <c r="I35" s="2231"/>
      <c r="J35" s="2231"/>
      <c r="K35" s="2231"/>
      <c r="L35" s="2231"/>
      <c r="M35" s="2231"/>
      <c r="N35" s="1077"/>
      <c r="O35" s="1078"/>
    </row>
    <row r="36" spans="2:18" ht="21" customHeight="1">
      <c r="D36" s="1260"/>
      <c r="E36" s="1260"/>
      <c r="F36" s="1260"/>
      <c r="G36" s="1423" t="s">
        <v>2933</v>
      </c>
      <c r="H36" s="1260"/>
      <c r="I36" s="2232"/>
      <c r="J36" s="2232"/>
      <c r="K36" s="2205"/>
      <c r="L36" s="2205"/>
      <c r="M36" s="2205"/>
      <c r="N36" s="2205"/>
      <c r="O36" s="1026"/>
    </row>
    <row r="37" spans="2:18" ht="16.5" thickBot="1">
      <c r="D37" s="1025"/>
      <c r="E37" s="1026"/>
      <c r="F37" s="1025"/>
      <c r="G37" s="1425" t="s">
        <v>248</v>
      </c>
      <c r="H37" s="3078" t="s">
        <v>2751</v>
      </c>
      <c r="I37" s="3079"/>
      <c r="J37" s="3080"/>
      <c r="K37" s="3330" t="s">
        <v>1146</v>
      </c>
      <c r="L37" s="3331"/>
      <c r="M37" s="3331"/>
      <c r="N37" s="3332"/>
      <c r="O37" s="1208" t="s">
        <v>2752</v>
      </c>
      <c r="P37" s="144"/>
      <c r="Q37" s="144"/>
      <c r="R37" s="144"/>
    </row>
    <row r="38" spans="2:18" ht="42" customHeight="1">
      <c r="D38" s="1025"/>
      <c r="E38" s="1026"/>
      <c r="F38" s="1025"/>
      <c r="G38" s="3253">
        <v>2</v>
      </c>
      <c r="H38" s="3338" t="s">
        <v>1147</v>
      </c>
      <c r="I38" s="3336" t="s">
        <v>2428</v>
      </c>
      <c r="J38" s="3337"/>
      <c r="K38" s="3333" t="s">
        <v>2753</v>
      </c>
      <c r="L38" s="3334"/>
      <c r="M38" s="3334"/>
      <c r="N38" s="3335"/>
      <c r="O38" s="3196" t="s">
        <v>252</v>
      </c>
      <c r="P38" s="144"/>
      <c r="Q38" s="144"/>
      <c r="R38" s="144"/>
    </row>
    <row r="39" spans="2:18" ht="42" customHeight="1">
      <c r="B39" s="1234" t="s">
        <v>2429</v>
      </c>
      <c r="D39" s="1025"/>
      <c r="E39" s="1026"/>
      <c r="F39" s="1025"/>
      <c r="G39" s="3087"/>
      <c r="H39" s="3339"/>
      <c r="I39" s="3309"/>
      <c r="J39" s="3153"/>
      <c r="K39" s="3323" t="s">
        <v>2430</v>
      </c>
      <c r="L39" s="3152"/>
      <c r="M39" s="3152"/>
      <c r="N39" s="3154"/>
      <c r="O39" s="3239"/>
      <c r="P39" s="144"/>
      <c r="Q39" s="144"/>
      <c r="R39" s="144"/>
    </row>
    <row r="40" spans="2:18" ht="30.75" customHeight="1">
      <c r="D40" s="1025"/>
      <c r="E40" s="1026"/>
      <c r="F40" s="1025"/>
      <c r="G40" s="3086">
        <v>2</v>
      </c>
      <c r="H40" s="3313" t="s">
        <v>2431</v>
      </c>
      <c r="I40" s="3305" t="s">
        <v>929</v>
      </c>
      <c r="J40" s="3306"/>
      <c r="K40" s="3305" t="s">
        <v>930</v>
      </c>
      <c r="L40" s="3328"/>
      <c r="M40" s="3328"/>
      <c r="N40" s="3306"/>
      <c r="O40" s="3237" t="s">
        <v>2754</v>
      </c>
      <c r="P40" s="144"/>
      <c r="Q40" s="144"/>
      <c r="R40" s="144"/>
    </row>
    <row r="41" spans="2:18" ht="36" customHeight="1">
      <c r="D41" s="1025"/>
      <c r="E41" s="1026"/>
      <c r="F41" s="1025"/>
      <c r="G41" s="3220"/>
      <c r="H41" s="3340"/>
      <c r="I41" s="3307"/>
      <c r="J41" s="3308"/>
      <c r="K41" s="3311" t="s">
        <v>1355</v>
      </c>
      <c r="L41" s="3312"/>
      <c r="M41" s="3312"/>
      <c r="N41" s="3153"/>
      <c r="O41" s="3238"/>
      <c r="P41" s="144"/>
      <c r="Q41" s="144"/>
      <c r="R41" s="144"/>
    </row>
    <row r="42" spans="2:18" ht="20.25" customHeight="1">
      <c r="D42" s="1025"/>
      <c r="E42" s="1026"/>
      <c r="F42" s="1025"/>
      <c r="G42" s="3086">
        <v>2</v>
      </c>
      <c r="H42" s="3340"/>
      <c r="I42" s="3307"/>
      <c r="J42" s="3308"/>
      <c r="K42" s="3305" t="s">
        <v>931</v>
      </c>
      <c r="L42" s="3328"/>
      <c r="M42" s="3328"/>
      <c r="N42" s="3306"/>
      <c r="O42" s="3237" t="s">
        <v>251</v>
      </c>
      <c r="P42" s="144"/>
      <c r="Q42" s="144"/>
      <c r="R42" s="144"/>
    </row>
    <row r="43" spans="2:18" ht="55.5" customHeight="1">
      <c r="D43" s="1025"/>
      <c r="E43" s="1026"/>
      <c r="F43" s="1025"/>
      <c r="G43" s="3087"/>
      <c r="H43" s="3340"/>
      <c r="I43" s="3307"/>
      <c r="J43" s="3308"/>
      <c r="K43" s="3311" t="s">
        <v>1356</v>
      </c>
      <c r="L43" s="3312"/>
      <c r="M43" s="3312"/>
      <c r="N43" s="3153"/>
      <c r="O43" s="3239"/>
      <c r="P43" s="144"/>
      <c r="Q43" s="144"/>
      <c r="R43" s="144"/>
    </row>
    <row r="44" spans="2:18" ht="20.25" customHeight="1">
      <c r="D44" s="1025"/>
      <c r="E44" s="1026"/>
      <c r="F44" s="1025"/>
      <c r="G44" s="3086">
        <v>0</v>
      </c>
      <c r="H44" s="3340"/>
      <c r="I44" s="3307"/>
      <c r="J44" s="3308"/>
      <c r="K44" s="3305" t="s">
        <v>932</v>
      </c>
      <c r="L44" s="3328"/>
      <c r="M44" s="3328"/>
      <c r="N44" s="3306"/>
      <c r="O44" s="3237" t="s">
        <v>251</v>
      </c>
      <c r="P44" s="144"/>
      <c r="Q44" s="144"/>
      <c r="R44" s="144"/>
    </row>
    <row r="45" spans="2:18" ht="57.75" customHeight="1">
      <c r="D45" s="1025"/>
      <c r="E45" s="1026"/>
      <c r="F45" s="1025"/>
      <c r="G45" s="3087"/>
      <c r="H45" s="3340"/>
      <c r="I45" s="3309"/>
      <c r="J45" s="3153"/>
      <c r="K45" s="3311" t="s">
        <v>2766</v>
      </c>
      <c r="L45" s="3312"/>
      <c r="M45" s="3312"/>
      <c r="N45" s="3153"/>
      <c r="O45" s="3197"/>
      <c r="P45" s="144"/>
      <c r="Q45" s="144"/>
      <c r="R45" s="144"/>
    </row>
    <row r="46" spans="2:18" ht="20.25" customHeight="1">
      <c r="D46" s="1025"/>
      <c r="E46" s="1026"/>
      <c r="F46" s="1025"/>
      <c r="G46" s="3086">
        <v>0</v>
      </c>
      <c r="H46" s="3340"/>
      <c r="I46" s="3305" t="s">
        <v>933</v>
      </c>
      <c r="J46" s="3306"/>
      <c r="K46" s="3305" t="s">
        <v>934</v>
      </c>
      <c r="L46" s="3328"/>
      <c r="M46" s="3328"/>
      <c r="N46" s="3306"/>
      <c r="O46" s="3237" t="s">
        <v>251</v>
      </c>
      <c r="P46" s="144"/>
      <c r="Q46" s="144"/>
      <c r="R46" s="144"/>
    </row>
    <row r="47" spans="2:18" ht="55.5" customHeight="1">
      <c r="D47" s="1025"/>
      <c r="E47" s="1026"/>
      <c r="F47" s="1025"/>
      <c r="G47" s="3087"/>
      <c r="H47" s="3340"/>
      <c r="I47" s="3309"/>
      <c r="J47" s="3153"/>
      <c r="K47" s="3311" t="s">
        <v>2767</v>
      </c>
      <c r="L47" s="3312"/>
      <c r="M47" s="3312"/>
      <c r="N47" s="3153"/>
      <c r="O47" s="3240"/>
      <c r="P47" s="144"/>
      <c r="Q47" s="144"/>
      <c r="R47" s="144"/>
    </row>
    <row r="48" spans="2:18" ht="20.25" customHeight="1">
      <c r="D48" s="1025"/>
      <c r="E48" s="1026"/>
      <c r="F48" s="1025"/>
      <c r="G48" s="3086">
        <v>0</v>
      </c>
      <c r="H48" s="3340"/>
      <c r="I48" s="3305" t="s">
        <v>935</v>
      </c>
      <c r="J48" s="3306"/>
      <c r="K48" s="3305" t="s">
        <v>936</v>
      </c>
      <c r="L48" s="3328"/>
      <c r="M48" s="3328"/>
      <c r="N48" s="3306"/>
      <c r="O48" s="3237" t="s">
        <v>251</v>
      </c>
      <c r="P48" s="144"/>
      <c r="Q48" s="144"/>
      <c r="R48" s="144"/>
    </row>
    <row r="49" spans="2:18" ht="55.5" customHeight="1">
      <c r="D49" s="1025"/>
      <c r="E49" s="1026"/>
      <c r="F49" s="1025"/>
      <c r="G49" s="3087"/>
      <c r="H49" s="3340"/>
      <c r="I49" s="3307"/>
      <c r="J49" s="3308"/>
      <c r="K49" s="3311" t="s">
        <v>2768</v>
      </c>
      <c r="L49" s="3312"/>
      <c r="M49" s="3312"/>
      <c r="N49" s="3153"/>
      <c r="O49" s="3239"/>
      <c r="P49" s="144"/>
      <c r="Q49" s="144"/>
      <c r="R49" s="144"/>
    </row>
    <row r="50" spans="2:18" ht="20.25" customHeight="1">
      <c r="D50" s="1025"/>
      <c r="E50" s="1026"/>
      <c r="F50" s="1025"/>
      <c r="G50" s="3086">
        <v>0</v>
      </c>
      <c r="H50" s="3340"/>
      <c r="I50" s="3307"/>
      <c r="J50" s="3308"/>
      <c r="K50" s="3305" t="s">
        <v>937</v>
      </c>
      <c r="L50" s="3328"/>
      <c r="M50" s="3328"/>
      <c r="N50" s="3306"/>
      <c r="O50" s="3237" t="s">
        <v>251</v>
      </c>
      <c r="P50" s="144"/>
      <c r="Q50" s="144"/>
      <c r="R50" s="144"/>
    </row>
    <row r="51" spans="2:18" ht="58.5" customHeight="1">
      <c r="D51" s="1025"/>
      <c r="E51" s="1026"/>
      <c r="F51" s="1025"/>
      <c r="G51" s="3087"/>
      <c r="H51" s="3340"/>
      <c r="I51" s="3309"/>
      <c r="J51" s="3153"/>
      <c r="K51" s="3311" t="s">
        <v>2769</v>
      </c>
      <c r="L51" s="3312"/>
      <c r="M51" s="3312"/>
      <c r="N51" s="3153"/>
      <c r="O51" s="3239"/>
      <c r="P51" s="144"/>
      <c r="Q51" s="144"/>
      <c r="R51" s="144"/>
    </row>
    <row r="52" spans="2:18" ht="30.75" customHeight="1">
      <c r="D52" s="1025"/>
      <c r="E52" s="1026"/>
      <c r="F52" s="1025"/>
      <c r="G52" s="3086">
        <v>0</v>
      </c>
      <c r="H52" s="3340"/>
      <c r="I52" s="3305" t="s">
        <v>938</v>
      </c>
      <c r="J52" s="3306"/>
      <c r="K52" s="3305" t="s">
        <v>939</v>
      </c>
      <c r="L52" s="3328"/>
      <c r="M52" s="3328"/>
      <c r="N52" s="3306"/>
      <c r="O52" s="3237" t="s">
        <v>251</v>
      </c>
      <c r="P52" s="144"/>
      <c r="Q52" s="144"/>
      <c r="R52" s="144"/>
    </row>
    <row r="53" spans="2:18" ht="56.25" customHeight="1">
      <c r="D53" s="1025"/>
      <c r="E53" s="1026"/>
      <c r="F53" s="1025"/>
      <c r="G53" s="3087"/>
      <c r="H53" s="3340"/>
      <c r="I53" s="3307"/>
      <c r="J53" s="3308"/>
      <c r="K53" s="3311" t="s">
        <v>2770</v>
      </c>
      <c r="L53" s="3312"/>
      <c r="M53" s="3312"/>
      <c r="N53" s="3153"/>
      <c r="O53" s="3240"/>
      <c r="P53" s="144"/>
      <c r="Q53" s="144"/>
      <c r="R53" s="144"/>
    </row>
    <row r="54" spans="2:18" ht="27" customHeight="1">
      <c r="D54" s="1025"/>
      <c r="E54" s="1026"/>
      <c r="F54" s="1025"/>
      <c r="G54" s="3086">
        <v>0</v>
      </c>
      <c r="H54" s="3340"/>
      <c r="I54" s="3307"/>
      <c r="J54" s="3308"/>
      <c r="K54" s="3305" t="s">
        <v>940</v>
      </c>
      <c r="L54" s="3328"/>
      <c r="M54" s="3328"/>
      <c r="N54" s="3306"/>
      <c r="O54" s="3237" t="s">
        <v>251</v>
      </c>
      <c r="P54" s="144"/>
      <c r="Q54" s="144"/>
      <c r="R54" s="144"/>
    </row>
    <row r="55" spans="2:18" ht="56.25" customHeight="1">
      <c r="D55" s="1025"/>
      <c r="E55" s="1026"/>
      <c r="F55" s="1025"/>
      <c r="G55" s="3087"/>
      <c r="H55" s="3339"/>
      <c r="I55" s="3309"/>
      <c r="J55" s="3153"/>
      <c r="K55" s="3311" t="s">
        <v>1319</v>
      </c>
      <c r="L55" s="3312"/>
      <c r="M55" s="3312"/>
      <c r="N55" s="3153"/>
      <c r="O55" s="3239"/>
      <c r="P55" s="144"/>
      <c r="Q55" s="144"/>
      <c r="R55" s="144"/>
    </row>
    <row r="56" spans="2:18" ht="32.25" customHeight="1">
      <c r="D56" s="1025"/>
      <c r="E56" s="1026"/>
      <c r="F56" s="1025"/>
      <c r="G56" s="3086">
        <v>0</v>
      </c>
      <c r="H56" s="3313" t="s">
        <v>941</v>
      </c>
      <c r="I56" s="3305" t="s">
        <v>942</v>
      </c>
      <c r="J56" s="3306"/>
      <c r="K56" s="3305" t="s">
        <v>1320</v>
      </c>
      <c r="L56" s="3328"/>
      <c r="M56" s="3328"/>
      <c r="N56" s="3306"/>
      <c r="O56" s="3237" t="s">
        <v>252</v>
      </c>
      <c r="P56" s="144"/>
      <c r="Q56" s="144"/>
      <c r="R56" s="144"/>
    </row>
    <row r="57" spans="2:18" ht="30.75" customHeight="1" thickBot="1">
      <c r="D57" s="1025"/>
      <c r="E57" s="1026"/>
      <c r="F57" s="1025"/>
      <c r="G57" s="3088"/>
      <c r="H57" s="3314"/>
      <c r="I57" s="3315"/>
      <c r="J57" s="3316"/>
      <c r="K57" s="3323" t="s">
        <v>943</v>
      </c>
      <c r="L57" s="3152"/>
      <c r="M57" s="3152"/>
      <c r="N57" s="3154"/>
      <c r="O57" s="3327"/>
      <c r="P57" s="144"/>
      <c r="Q57" s="144"/>
      <c r="R57" s="144"/>
    </row>
    <row r="58" spans="2:18" ht="15.75">
      <c r="D58" s="1025"/>
      <c r="E58" s="1026"/>
      <c r="F58" s="1025"/>
      <c r="G58" s="1312" t="s">
        <v>1899</v>
      </c>
      <c r="H58" s="3268">
        <f>SUM(G38:G57)</f>
        <v>6</v>
      </c>
      <c r="I58" s="3268"/>
      <c r="J58" s="3268"/>
      <c r="K58" s="1314"/>
      <c r="L58" s="1315"/>
      <c r="M58" s="1314"/>
      <c r="N58" s="1315"/>
      <c r="O58" s="1426"/>
      <c r="P58" s="144"/>
      <c r="Q58" s="144"/>
      <c r="R58" s="144"/>
    </row>
    <row r="59" spans="2:18" ht="15" customHeight="1">
      <c r="D59" s="1025"/>
      <c r="E59" s="1025"/>
      <c r="F59" s="1025"/>
      <c r="G59" s="1745"/>
      <c r="H59" s="1745"/>
      <c r="I59" s="1746"/>
      <c r="J59" s="1747"/>
      <c r="K59" s="1747"/>
      <c r="L59" s="2233"/>
      <c r="M59" s="1026"/>
      <c r="N59" s="1026"/>
      <c r="O59" s="1026"/>
    </row>
    <row r="60" spans="2:18" ht="14.25" customHeight="1">
      <c r="D60" s="1742">
        <v>2.2999999999999998</v>
      </c>
      <c r="E60" s="1032" t="s">
        <v>750</v>
      </c>
      <c r="F60" s="1033"/>
      <c r="G60" s="1026"/>
      <c r="H60" s="1033"/>
      <c r="I60" s="1032"/>
      <c r="J60" s="1032"/>
      <c r="K60" s="1032"/>
      <c r="L60" s="1032"/>
      <c r="M60" s="1032"/>
      <c r="N60" s="1538"/>
      <c r="O60" s="1033"/>
    </row>
    <row r="61" spans="2:18" ht="14.25" customHeight="1">
      <c r="D61" s="1742"/>
      <c r="E61" s="1032"/>
      <c r="F61" s="1601" t="s">
        <v>1321</v>
      </c>
      <c r="G61" s="1026"/>
      <c r="H61" s="1033"/>
      <c r="I61" s="1032"/>
      <c r="J61" s="1032"/>
      <c r="K61" s="1032"/>
      <c r="L61" s="1032"/>
      <c r="M61" s="1032"/>
      <c r="N61" s="1538"/>
      <c r="O61" s="1033"/>
    </row>
    <row r="62" spans="2:18" ht="18" customHeight="1" thickBot="1">
      <c r="D62" s="1742"/>
      <c r="E62" s="1538"/>
      <c r="F62" s="1185"/>
      <c r="G62" s="1043"/>
      <c r="H62" s="1044" t="s">
        <v>1484</v>
      </c>
      <c r="I62" s="1045"/>
      <c r="J62" s="1046">
        <f>重み!M165</f>
        <v>0.25</v>
      </c>
      <c r="K62" s="1186"/>
      <c r="L62" s="1186"/>
      <c r="M62" s="1186"/>
      <c r="N62" s="1186"/>
      <c r="O62" s="1055"/>
    </row>
    <row r="63" spans="2:18" ht="17.25" customHeight="1" thickBot="1">
      <c r="F63" s="1049">
        <v>3</v>
      </c>
      <c r="G63" s="1053" t="s">
        <v>1322</v>
      </c>
      <c r="H63" s="1054"/>
      <c r="I63" s="1054"/>
      <c r="J63" s="1054"/>
      <c r="K63" s="1054"/>
      <c r="L63" s="1389"/>
      <c r="M63" s="1389"/>
      <c r="N63" s="3310" t="s">
        <v>1323</v>
      </c>
      <c r="O63" s="2938"/>
    </row>
    <row r="64" spans="2:18" ht="17.25" customHeight="1">
      <c r="B64" s="1657" t="s">
        <v>1637</v>
      </c>
      <c r="C64" s="1">
        <v>1</v>
      </c>
      <c r="F64" s="1061" t="str">
        <f>IF(F63=$S$15,$T$10,IF(ROUNDDOWN(F63,0)=$S$10,$U$10,$T$10))</f>
        <v>　レベル　1</v>
      </c>
      <c r="G64" s="1058" t="s">
        <v>2365</v>
      </c>
      <c r="H64" s="1292"/>
      <c r="I64" s="1292"/>
      <c r="J64" s="1292"/>
      <c r="K64" s="1292"/>
      <c r="L64" s="1292"/>
      <c r="M64" s="1292"/>
      <c r="N64" s="3317" t="s">
        <v>1324</v>
      </c>
      <c r="O64" s="3318"/>
    </row>
    <row r="65" spans="2:15" ht="24.75" customHeight="1">
      <c r="B65" s="1" t="s">
        <v>1637</v>
      </c>
      <c r="C65" s="1">
        <v>2</v>
      </c>
      <c r="F65" s="1061" t="str">
        <f>IF(F63=$S$15,$T$11,IF(ROUNDDOWN(F63,0)=$S$11,$U$11,$T$11))</f>
        <v>　レベル　2</v>
      </c>
      <c r="G65" s="1725" t="s">
        <v>2365</v>
      </c>
      <c r="H65" s="2230"/>
      <c r="I65" s="2230"/>
      <c r="J65" s="2230"/>
      <c r="K65" s="2230"/>
      <c r="L65" s="2230"/>
      <c r="M65" s="2230"/>
      <c r="N65" s="3319"/>
      <c r="O65" s="3320"/>
    </row>
    <row r="66" spans="2:15" ht="24.75" customHeight="1">
      <c r="B66" s="1">
        <v>3</v>
      </c>
      <c r="C66" s="1">
        <v>3</v>
      </c>
      <c r="F66" s="1061" t="str">
        <f>IF(F63=$S$15,$T$12,IF(ROUNDDOWN(F63,0)=$S$12,$U$12,$T$12))</f>
        <v>■レベル　3</v>
      </c>
      <c r="G66" s="1725" t="s">
        <v>1325</v>
      </c>
      <c r="H66" s="2230"/>
      <c r="I66" s="2230"/>
      <c r="J66" s="2230"/>
      <c r="K66" s="2230"/>
      <c r="L66" s="2230"/>
      <c r="M66" s="2230"/>
      <c r="N66" s="3319"/>
      <c r="O66" s="3320"/>
    </row>
    <row r="67" spans="2:15" ht="24.75" customHeight="1">
      <c r="B67" s="1">
        <v>4</v>
      </c>
      <c r="C67" s="1">
        <v>4</v>
      </c>
      <c r="F67" s="1061" t="str">
        <f>IF(F63=$S$15,$T$13,IF(ROUNDDOWN(F63,0)=$S$13,$U$13,$T$13))</f>
        <v>　レベル　4</v>
      </c>
      <c r="G67" s="1725" t="s">
        <v>944</v>
      </c>
      <c r="H67" s="2230"/>
      <c r="I67" s="2230"/>
      <c r="J67" s="2230"/>
      <c r="K67" s="2230"/>
      <c r="L67" s="2230"/>
      <c r="M67" s="2230"/>
      <c r="N67" s="3319"/>
      <c r="O67" s="3320"/>
    </row>
    <row r="68" spans="2:15" ht="24.75" customHeight="1">
      <c r="B68" s="1" t="s">
        <v>1333</v>
      </c>
      <c r="C68" s="1">
        <v>5</v>
      </c>
      <c r="F68" s="1072" t="str">
        <f>IF(F63=$S$15,$T$14,IF(ROUNDDOWN(F63,0)=$S$14,$U$14,$T$14))</f>
        <v>　レベル　5</v>
      </c>
      <c r="G68" s="1726" t="s">
        <v>2365</v>
      </c>
      <c r="H68" s="2231"/>
      <c r="I68" s="2231"/>
      <c r="J68" s="2231"/>
      <c r="K68" s="2231"/>
      <c r="L68" s="2231"/>
      <c r="M68" s="2231"/>
      <c r="N68" s="3321"/>
      <c r="O68" s="3322"/>
    </row>
    <row r="69" spans="2:15">
      <c r="B69" s="1079">
        <v>0</v>
      </c>
      <c r="C69" s="1079">
        <v>0</v>
      </c>
    </row>
    <row r="70" spans="2:15" ht="16.5" customHeight="1">
      <c r="F70" s="1601" t="s">
        <v>1326</v>
      </c>
    </row>
    <row r="71" spans="2:15" ht="19.5" customHeight="1" thickBot="1">
      <c r="D71" s="1742"/>
      <c r="E71" s="577"/>
      <c r="F71" s="1185"/>
      <c r="G71" s="1043"/>
      <c r="H71" s="1044" t="s">
        <v>1484</v>
      </c>
      <c r="I71" s="1045"/>
      <c r="J71" s="1046">
        <f>重み!M166</f>
        <v>0.25</v>
      </c>
      <c r="K71" s="1186"/>
      <c r="L71" s="1186"/>
      <c r="M71" s="1186"/>
      <c r="N71" s="1186"/>
      <c r="O71" s="1055"/>
    </row>
    <row r="72" spans="2:15" ht="19.5" customHeight="1" thickBot="1">
      <c r="F72" s="1049">
        <v>3</v>
      </c>
      <c r="G72" s="1053" t="s">
        <v>2420</v>
      </c>
      <c r="H72" s="1054"/>
      <c r="I72" s="1054"/>
      <c r="J72" s="1054"/>
      <c r="K72" s="1054"/>
      <c r="L72" s="1389"/>
      <c r="M72" s="1054"/>
      <c r="N72" s="1054"/>
      <c r="O72" s="1055"/>
    </row>
    <row r="73" spans="2:15" ht="19.5" customHeight="1">
      <c r="B73" s="1657" t="s">
        <v>1637</v>
      </c>
      <c r="C73" s="1">
        <v>1</v>
      </c>
      <c r="F73" s="1061" t="str">
        <f>IF(F72=$S$15,$T$10,IF(ROUNDDOWN(F72,0)=$S$10,$U$10,$T$10))</f>
        <v>　レベル　1</v>
      </c>
      <c r="G73" s="1058" t="s">
        <v>2365</v>
      </c>
      <c r="H73" s="1292"/>
      <c r="I73" s="1292"/>
      <c r="J73" s="1292"/>
      <c r="K73" s="1292"/>
      <c r="L73" s="1292"/>
      <c r="M73" s="1292"/>
      <c r="N73" s="1059"/>
      <c r="O73" s="1060"/>
    </row>
    <row r="74" spans="2:15" ht="19.5" customHeight="1">
      <c r="B74" s="1" t="s">
        <v>1637</v>
      </c>
      <c r="C74" s="1">
        <v>2</v>
      </c>
      <c r="F74" s="1061" t="str">
        <f>IF(F72=$S$15,$T$11,IF(ROUNDDOWN(F72,0)=$S$11,$U$11,$T$11))</f>
        <v>　レベル　2</v>
      </c>
      <c r="G74" s="1725" t="s">
        <v>2365</v>
      </c>
      <c r="H74" s="2230"/>
      <c r="I74" s="2230"/>
      <c r="J74" s="2230"/>
      <c r="K74" s="2230"/>
      <c r="L74" s="2230"/>
      <c r="M74" s="2230"/>
      <c r="N74" s="1066"/>
      <c r="O74" s="1067"/>
    </row>
    <row r="75" spans="2:15" ht="19.5" customHeight="1">
      <c r="B75" s="1">
        <v>3</v>
      </c>
      <c r="C75" s="1">
        <v>3</v>
      </c>
      <c r="F75" s="1061" t="str">
        <f>IF(F72=$S$15,$T$12,IF(ROUNDDOWN(F72,0)=$S$12,$U$12,$T$12))</f>
        <v>■レベル　3</v>
      </c>
      <c r="G75" s="1725" t="s">
        <v>945</v>
      </c>
      <c r="H75" s="2230"/>
      <c r="I75" s="2230"/>
      <c r="J75" s="2230"/>
      <c r="K75" s="2230"/>
      <c r="L75" s="2230"/>
      <c r="M75" s="2230"/>
      <c r="N75" s="1066"/>
      <c r="O75" s="1067"/>
    </row>
    <row r="76" spans="2:15" ht="19.5" customHeight="1">
      <c r="B76" s="1">
        <v>4</v>
      </c>
      <c r="C76" s="1">
        <v>4</v>
      </c>
      <c r="F76" s="1061" t="str">
        <f>IF(F72=$S$15,$T$13,IF(ROUNDDOWN(F72,0)=$S$13,$U$13,$T$13))</f>
        <v>　レベル　4</v>
      </c>
      <c r="G76" s="1725" t="s">
        <v>1327</v>
      </c>
      <c r="H76" s="2230"/>
      <c r="I76" s="2230"/>
      <c r="J76" s="2230"/>
      <c r="K76" s="2230"/>
      <c r="L76" s="2230"/>
      <c r="M76" s="2230"/>
      <c r="N76" s="1066"/>
      <c r="O76" s="1067"/>
    </row>
    <row r="77" spans="2:15" ht="19.5" customHeight="1">
      <c r="B77" s="1" t="s">
        <v>2364</v>
      </c>
      <c r="C77" s="1">
        <v>5</v>
      </c>
      <c r="F77" s="1072" t="str">
        <f>IF(F72=$S$15,$T$14,IF(ROUNDDOWN(F72,0)=$S$14,$U$14,$T$14))</f>
        <v>　レベル　5</v>
      </c>
      <c r="G77" s="1726" t="s">
        <v>2365</v>
      </c>
      <c r="H77" s="2231"/>
      <c r="I77" s="2231"/>
      <c r="J77" s="2231"/>
      <c r="K77" s="2231"/>
      <c r="L77" s="2231"/>
      <c r="M77" s="2231"/>
      <c r="N77" s="1077"/>
      <c r="O77" s="1078"/>
    </row>
    <row r="78" spans="2:15" ht="13.5" customHeight="1">
      <c r="B78" s="1079">
        <v>0</v>
      </c>
      <c r="C78" s="1079">
        <v>0</v>
      </c>
    </row>
    <row r="79" spans="2:15" ht="13.5" customHeight="1">
      <c r="F79" s="1601" t="s">
        <v>1328</v>
      </c>
    </row>
    <row r="80" spans="2:15" ht="14.25" customHeight="1" thickBot="1">
      <c r="D80" s="1742"/>
      <c r="E80" s="577"/>
      <c r="F80" s="1185"/>
      <c r="G80" s="1043"/>
      <c r="H80" s="1044" t="s">
        <v>1484</v>
      </c>
      <c r="I80" s="1045"/>
      <c r="J80" s="1046">
        <f>重み!M167</f>
        <v>0.25</v>
      </c>
      <c r="K80" s="1186"/>
      <c r="L80" s="1186"/>
      <c r="M80" s="1186"/>
      <c r="N80" s="1186"/>
      <c r="O80" s="1055"/>
    </row>
    <row r="81" spans="4:15" ht="22.5" customHeight="1" thickBot="1">
      <c r="F81" s="1421">
        <f>IF(H97=0,1,IF(H97=1,2,IF(H97=2,3,IF(H97=3,4,IF(H97&gt;=4,5)))))</f>
        <v>3</v>
      </c>
      <c r="G81" s="1053" t="s">
        <v>556</v>
      </c>
      <c r="H81" s="1054"/>
      <c r="I81" s="1054"/>
      <c r="J81" s="1054"/>
      <c r="K81" s="1054"/>
      <c r="L81" s="1389"/>
      <c r="M81" s="1054"/>
      <c r="N81" s="1054"/>
      <c r="O81" s="1055"/>
    </row>
    <row r="82" spans="4:15" ht="22.5" customHeight="1">
      <c r="F82" s="1061" t="str">
        <f>IF(F81=$S$15,$T$10,IF(ROUNDDOWN(F81,0)=$S$10,$U$10,$T$10))</f>
        <v>　レベル　1</v>
      </c>
      <c r="G82" s="1291" t="s">
        <v>1329</v>
      </c>
      <c r="H82" s="1292"/>
      <c r="I82" s="1292"/>
      <c r="J82" s="1292"/>
      <c r="K82" s="1292"/>
      <c r="L82" s="1292"/>
      <c r="M82" s="1292"/>
      <c r="N82" s="1059"/>
      <c r="O82" s="1060"/>
    </row>
    <row r="83" spans="4:15" ht="22.5" customHeight="1">
      <c r="F83" s="1061" t="str">
        <f>IF(F81=$S$15,$T$11,IF(ROUNDDOWN(F81,0)=$S$11,$U$11,$T$11))</f>
        <v>　レベル　2</v>
      </c>
      <c r="G83" s="1725" t="s">
        <v>1773</v>
      </c>
      <c r="H83" s="2230"/>
      <c r="I83" s="2230"/>
      <c r="J83" s="2230"/>
      <c r="K83" s="2230"/>
      <c r="L83" s="2230"/>
      <c r="M83" s="2230"/>
      <c r="N83" s="1066"/>
      <c r="O83" s="1067"/>
    </row>
    <row r="84" spans="4:15" ht="22.5" customHeight="1">
      <c r="F84" s="1061" t="str">
        <f>IF(F81=$S$15,$T$12,IF(ROUNDDOWN(F81,0)=$S$12,$U$12,$T$12))</f>
        <v>■レベル　3</v>
      </c>
      <c r="G84" s="1725" t="s">
        <v>1774</v>
      </c>
      <c r="H84" s="2230"/>
      <c r="I84" s="2230"/>
      <c r="J84" s="2230"/>
      <c r="K84" s="2230"/>
      <c r="L84" s="2230"/>
      <c r="M84" s="2230"/>
      <c r="N84" s="1066"/>
      <c r="O84" s="1067"/>
    </row>
    <row r="85" spans="4:15" ht="22.5" customHeight="1">
      <c r="F85" s="1061" t="str">
        <f>IF(F81=$S$15,$T$13,IF(ROUNDDOWN(F81,0)=$S$13,$U$13,$T$13))</f>
        <v>　レベル　4</v>
      </c>
      <c r="G85" s="1725" t="s">
        <v>1775</v>
      </c>
      <c r="H85" s="2230"/>
      <c r="I85" s="2230"/>
      <c r="J85" s="2230"/>
      <c r="K85" s="2230"/>
      <c r="L85" s="2230"/>
      <c r="M85" s="2230"/>
      <c r="N85" s="1066"/>
      <c r="O85" s="1067"/>
    </row>
    <row r="86" spans="4:15" ht="22.5" customHeight="1">
      <c r="F86" s="1072" t="str">
        <f>IF(F81=$S$15,$T$14,IF(ROUNDDOWN(F81,0)=$S$14,$U$14,$T$14))</f>
        <v>　レベル　5</v>
      </c>
      <c r="G86" s="1726" t="s">
        <v>1776</v>
      </c>
      <c r="H86" s="2231"/>
      <c r="I86" s="2231"/>
      <c r="J86" s="2231"/>
      <c r="K86" s="2231"/>
      <c r="L86" s="2231"/>
      <c r="M86" s="2231"/>
      <c r="N86" s="1077"/>
      <c r="O86" s="1078"/>
    </row>
    <row r="87" spans="4:15" ht="21" customHeight="1">
      <c r="F87" s="1260"/>
      <c r="G87" s="1423" t="s">
        <v>2933</v>
      </c>
      <c r="H87" s="1260"/>
      <c r="I87" s="2232"/>
      <c r="J87" s="2232"/>
      <c r="K87" s="2205"/>
      <c r="L87" s="2205"/>
      <c r="M87" s="2205"/>
      <c r="N87" s="2205"/>
      <c r="O87" s="1021"/>
    </row>
    <row r="88" spans="4:15" ht="24.75" customHeight="1" thickBot="1">
      <c r="F88" s="1025"/>
      <c r="G88" s="1425" t="s">
        <v>248</v>
      </c>
      <c r="H88" s="3078" t="s">
        <v>1877</v>
      </c>
      <c r="I88" s="3079"/>
      <c r="J88" s="3080"/>
      <c r="K88" s="3078" t="s">
        <v>1870</v>
      </c>
      <c r="L88" s="3079"/>
      <c r="M88" s="3079"/>
      <c r="N88" s="3079"/>
      <c r="O88" s="1208" t="s">
        <v>1878</v>
      </c>
    </row>
    <row r="89" spans="4:15" ht="41.25" customHeight="1">
      <c r="D89" s="1741"/>
      <c r="E89" s="1021"/>
      <c r="F89" s="1021"/>
      <c r="G89" s="1450">
        <v>1</v>
      </c>
      <c r="H89" s="3276" t="s">
        <v>1777</v>
      </c>
      <c r="I89" s="3276"/>
      <c r="J89" s="3277"/>
      <c r="K89" s="2913" t="s">
        <v>1778</v>
      </c>
      <c r="L89" s="3236"/>
      <c r="M89" s="3236"/>
      <c r="N89" s="3236"/>
      <c r="O89" s="2234">
        <v>1</v>
      </c>
    </row>
    <row r="90" spans="4:15" ht="20.25" customHeight="1">
      <c r="D90" s="1741"/>
      <c r="E90" s="1021"/>
      <c r="F90" s="1021"/>
      <c r="G90" s="3086">
        <v>0</v>
      </c>
      <c r="H90" s="3267"/>
      <c r="I90" s="3267"/>
      <c r="J90" s="3278"/>
      <c r="K90" s="3266" t="s">
        <v>1779</v>
      </c>
      <c r="L90" s="3267"/>
      <c r="M90" s="3267"/>
      <c r="N90" s="3267"/>
      <c r="O90" s="3287">
        <v>1</v>
      </c>
    </row>
    <row r="91" spans="4:15" ht="25.5" customHeight="1">
      <c r="D91" s="1741"/>
      <c r="E91" s="1021"/>
      <c r="F91" s="1021"/>
      <c r="G91" s="3087"/>
      <c r="H91" s="3279"/>
      <c r="I91" s="3279"/>
      <c r="J91" s="3280"/>
      <c r="K91" s="3325"/>
      <c r="L91" s="3326"/>
      <c r="M91" s="3326"/>
      <c r="N91" s="3326"/>
      <c r="O91" s="3287"/>
    </row>
    <row r="92" spans="4:15" ht="30.75" customHeight="1">
      <c r="D92" s="1741"/>
      <c r="E92" s="1021"/>
      <c r="F92" s="1021"/>
      <c r="G92" s="1452">
        <v>1</v>
      </c>
      <c r="H92" s="3271" t="s">
        <v>1780</v>
      </c>
      <c r="I92" s="3271"/>
      <c r="J92" s="3272"/>
      <c r="K92" s="3266" t="s">
        <v>1781</v>
      </c>
      <c r="L92" s="3267"/>
      <c r="M92" s="3267"/>
      <c r="N92" s="3267"/>
      <c r="O92" s="2235">
        <v>1</v>
      </c>
    </row>
    <row r="93" spans="4:15" ht="22.5" customHeight="1">
      <c r="D93" s="1741"/>
      <c r="E93" s="1021"/>
      <c r="F93" s="1021"/>
      <c r="G93" s="1452">
        <v>0</v>
      </c>
      <c r="H93" s="3267"/>
      <c r="I93" s="3267"/>
      <c r="J93" s="3278"/>
      <c r="K93" s="2918" t="s">
        <v>1782</v>
      </c>
      <c r="L93" s="3235"/>
      <c r="M93" s="3235"/>
      <c r="N93" s="3235"/>
      <c r="O93" s="2235">
        <v>1</v>
      </c>
    </row>
    <row r="94" spans="4:15" ht="33" customHeight="1">
      <c r="D94" s="1741"/>
      <c r="E94" s="1021"/>
      <c r="F94" s="1021"/>
      <c r="G94" s="1452">
        <v>0</v>
      </c>
      <c r="H94" s="3267"/>
      <c r="I94" s="3267"/>
      <c r="J94" s="3278"/>
      <c r="K94" s="2918" t="s">
        <v>1783</v>
      </c>
      <c r="L94" s="3235"/>
      <c r="M94" s="3235"/>
      <c r="N94" s="3235"/>
      <c r="O94" s="2235">
        <v>1</v>
      </c>
    </row>
    <row r="95" spans="4:15" ht="21.75" customHeight="1">
      <c r="D95" s="1741"/>
      <c r="E95" s="1021"/>
      <c r="F95" s="1021"/>
      <c r="G95" s="3086" t="s">
        <v>946</v>
      </c>
      <c r="H95" s="3267"/>
      <c r="I95" s="3267"/>
      <c r="J95" s="3278"/>
      <c r="K95" s="3266" t="s">
        <v>1784</v>
      </c>
      <c r="L95" s="3267"/>
      <c r="M95" s="3267"/>
      <c r="N95" s="3267"/>
      <c r="O95" s="3287">
        <v>1</v>
      </c>
    </row>
    <row r="96" spans="4:15" ht="25.5" customHeight="1" thickBot="1">
      <c r="D96" s="1741"/>
      <c r="E96" s="1021"/>
      <c r="F96" s="1021"/>
      <c r="G96" s="3088"/>
      <c r="H96" s="3274"/>
      <c r="I96" s="3274"/>
      <c r="J96" s="3275"/>
      <c r="K96" s="3096"/>
      <c r="L96" s="3097"/>
      <c r="M96" s="3097"/>
      <c r="N96" s="3097"/>
      <c r="O96" s="3324"/>
    </row>
    <row r="97" spans="2:15" ht="14.25">
      <c r="D97" s="1741"/>
      <c r="E97" s="1021"/>
      <c r="F97" s="1021"/>
      <c r="G97" s="1312" t="s">
        <v>1899</v>
      </c>
      <c r="H97" s="3268">
        <f>SUM(G89:G96)</f>
        <v>2</v>
      </c>
      <c r="I97" s="3268"/>
      <c r="J97" s="3268"/>
      <c r="K97" s="1314"/>
      <c r="L97" s="1315"/>
      <c r="M97" s="1314"/>
      <c r="N97" s="1315"/>
      <c r="O97" s="1426"/>
    </row>
    <row r="98" spans="2:15" ht="14.25">
      <c r="D98" s="1741"/>
      <c r="E98" s="1021"/>
      <c r="F98" s="1021"/>
      <c r="G98" s="1021"/>
      <c r="H98" s="1021"/>
      <c r="I98" s="1021"/>
      <c r="J98" s="1021"/>
      <c r="K98" s="1021"/>
      <c r="L98" s="1021"/>
      <c r="M98" s="1021"/>
      <c r="N98" s="1021"/>
      <c r="O98" s="1021"/>
    </row>
    <row r="99" spans="2:15" ht="14.25">
      <c r="D99" s="1741"/>
      <c r="E99" s="1021"/>
      <c r="F99" s="1601" t="s">
        <v>947</v>
      </c>
      <c r="G99" s="1021"/>
      <c r="H99" s="1021"/>
      <c r="I99" s="1021"/>
      <c r="J99" s="1021"/>
      <c r="K99" s="1021"/>
      <c r="L99" s="1021"/>
      <c r="M99" s="1021"/>
      <c r="N99" s="1021"/>
      <c r="O99" s="1021"/>
    </row>
    <row r="100" spans="2:15" ht="15" thickBot="1">
      <c r="B100" s="1749" t="s">
        <v>948</v>
      </c>
      <c r="D100" s="1742"/>
      <c r="E100" s="1260"/>
      <c r="F100" s="1185"/>
      <c r="G100" s="1043"/>
      <c r="H100" s="1044" t="s">
        <v>1484</v>
      </c>
      <c r="I100" s="1045"/>
      <c r="J100" s="1046">
        <f>重み!M168</f>
        <v>0.25</v>
      </c>
      <c r="K100" s="1186"/>
      <c r="L100" s="1186"/>
      <c r="M100" s="1186"/>
      <c r="N100" s="1186"/>
      <c r="O100" s="1055"/>
    </row>
    <row r="101" spans="2:15" ht="14.25" thickBot="1">
      <c r="F101" s="1421">
        <f>IF(H116&lt;=1,1,IF(H116&lt;=2,2,IF(H116&lt;=3,3,IF(H116&lt;=4,4,IF(H116&gt;=5,5)))))</f>
        <v>3</v>
      </c>
      <c r="G101" s="1053" t="s">
        <v>2152</v>
      </c>
      <c r="H101" s="1054"/>
      <c r="I101" s="1054"/>
      <c r="J101" s="1054"/>
      <c r="K101" s="1256" t="s">
        <v>2054</v>
      </c>
      <c r="L101" s="1257"/>
      <c r="M101" s="1257"/>
      <c r="N101" s="1257"/>
      <c r="O101" s="1552"/>
    </row>
    <row r="102" spans="2:15" ht="23.25" customHeight="1">
      <c r="F102" s="1061" t="str">
        <f>IF(F101=$S$15,$T$10,IF(ROUNDDOWN(F101,0)=$S$10,$U$10,$T$10))</f>
        <v>　レベル　1</v>
      </c>
      <c r="G102" s="1291" t="s">
        <v>1785</v>
      </c>
      <c r="H102" s="1372"/>
      <c r="I102" s="1372"/>
      <c r="J102" s="1372"/>
      <c r="K102" s="1553" t="s">
        <v>1786</v>
      </c>
      <c r="L102" s="1750"/>
      <c r="M102" s="1750"/>
      <c r="N102" s="1751"/>
      <c r="O102" s="1752"/>
    </row>
    <row r="103" spans="2:15" ht="23.25" customHeight="1">
      <c r="F103" s="1061" t="str">
        <f>IF(F101=$S$15,$T$11,IF(ROUNDDOWN(F101,0)=$S$11,$U$11,$T$11))</f>
        <v>　レベル　2</v>
      </c>
      <c r="G103" s="1294" t="s">
        <v>1787</v>
      </c>
      <c r="H103" s="1430"/>
      <c r="I103" s="1430"/>
      <c r="J103" s="1430"/>
      <c r="K103" s="1555" t="s">
        <v>1788</v>
      </c>
      <c r="L103" s="1753"/>
      <c r="M103" s="1754"/>
      <c r="N103" s="1755"/>
      <c r="O103" s="1756"/>
    </row>
    <row r="104" spans="2:15" ht="23.25" customHeight="1">
      <c r="F104" s="1061" t="str">
        <f>IF(F101=$S$15,$T$12,IF(ROUNDDOWN(F101,0)=$S$12,$U$12,$T$12))</f>
        <v>■レベル　3</v>
      </c>
      <c r="G104" s="1294" t="s">
        <v>2157</v>
      </c>
      <c r="H104" s="1430"/>
      <c r="I104" s="1430"/>
      <c r="J104" s="1430"/>
      <c r="K104" s="1555" t="s">
        <v>949</v>
      </c>
      <c r="L104" s="1753"/>
      <c r="M104" s="1754"/>
      <c r="N104" s="1755"/>
      <c r="O104" s="1756"/>
    </row>
    <row r="105" spans="2:15" ht="23.25" customHeight="1">
      <c r="F105" s="1061" t="str">
        <f>IF(F101=$S$15,$T$13,IF(ROUNDDOWN(F101,0)=$S$13,$U$13,$T$13))</f>
        <v>　レベル　4</v>
      </c>
      <c r="G105" s="1294" t="s">
        <v>2158</v>
      </c>
      <c r="H105" s="1430"/>
      <c r="I105" s="1430"/>
      <c r="J105" s="1430"/>
      <c r="K105" s="1555" t="s">
        <v>950</v>
      </c>
      <c r="L105" s="1753"/>
      <c r="M105" s="1754"/>
      <c r="N105" s="1755"/>
      <c r="O105" s="1756"/>
    </row>
    <row r="106" spans="2:15" ht="23.25" customHeight="1">
      <c r="F106" s="1072" t="str">
        <f>IF(F101=$S$15,$T$14,IF(ROUNDDOWN(F101,0)=$S$14,$U$14,$T$14))</f>
        <v>　レベル　5</v>
      </c>
      <c r="G106" s="1297" t="s">
        <v>2159</v>
      </c>
      <c r="H106" s="1440"/>
      <c r="I106" s="1440"/>
      <c r="J106" s="1440"/>
      <c r="K106" s="1757" t="s">
        <v>951</v>
      </c>
      <c r="L106" s="1758"/>
      <c r="M106" s="1759"/>
      <c r="N106" s="1760"/>
      <c r="O106" s="1761"/>
    </row>
    <row r="107" spans="2:15">
      <c r="F107" s="1260"/>
      <c r="G107" s="1423" t="s">
        <v>2933</v>
      </c>
      <c r="H107" s="1260"/>
      <c r="I107" s="2232"/>
      <c r="J107" s="2232"/>
      <c r="K107" s="2205"/>
      <c r="L107" s="2205"/>
      <c r="M107" s="2205"/>
      <c r="N107" s="2205"/>
      <c r="O107" s="1021"/>
    </row>
    <row r="108" spans="2:15" ht="22.5" customHeight="1" thickBot="1">
      <c r="F108" s="1025"/>
      <c r="G108" s="1425" t="s">
        <v>248</v>
      </c>
      <c r="H108" s="3078" t="s">
        <v>1877</v>
      </c>
      <c r="I108" s="3079"/>
      <c r="J108" s="3080"/>
      <c r="K108" s="3078" t="s">
        <v>1870</v>
      </c>
      <c r="L108" s="3079"/>
      <c r="M108" s="3079"/>
      <c r="N108" s="3079"/>
      <c r="O108" s="1208" t="s">
        <v>1878</v>
      </c>
    </row>
    <row r="109" spans="2:15" ht="30.75" customHeight="1">
      <c r="D109" s="1741"/>
      <c r="E109" s="1021"/>
      <c r="F109" s="1021"/>
      <c r="G109" s="1450">
        <v>1</v>
      </c>
      <c r="H109" s="3281" t="s">
        <v>2160</v>
      </c>
      <c r="I109" s="3282"/>
      <c r="J109" s="3283"/>
      <c r="K109" s="2913" t="s">
        <v>952</v>
      </c>
      <c r="L109" s="3236"/>
      <c r="M109" s="3236"/>
      <c r="N109" s="3236"/>
      <c r="O109" s="2234">
        <v>1</v>
      </c>
    </row>
    <row r="110" spans="2:15" ht="32.25" customHeight="1">
      <c r="D110" s="1741"/>
      <c r="E110" s="1021"/>
      <c r="F110" s="1021"/>
      <c r="G110" s="1453">
        <v>1</v>
      </c>
      <c r="H110" s="3257" t="s">
        <v>2601</v>
      </c>
      <c r="I110" s="3271"/>
      <c r="J110" s="3272"/>
      <c r="K110" s="2918" t="s">
        <v>953</v>
      </c>
      <c r="L110" s="3235"/>
      <c r="M110" s="3235"/>
      <c r="N110" s="3235"/>
      <c r="O110" s="2235">
        <v>1</v>
      </c>
    </row>
    <row r="111" spans="2:15" ht="27" customHeight="1">
      <c r="D111" s="1741"/>
      <c r="E111" s="1021"/>
      <c r="F111" s="1021"/>
      <c r="G111" s="1452">
        <v>1</v>
      </c>
      <c r="H111" s="3284"/>
      <c r="I111" s="3267"/>
      <c r="J111" s="3278"/>
      <c r="K111" s="2918" t="s">
        <v>954</v>
      </c>
      <c r="L111" s="3235"/>
      <c r="M111" s="3235"/>
      <c r="N111" s="3235"/>
      <c r="O111" s="2235">
        <v>1</v>
      </c>
    </row>
    <row r="112" spans="2:15" ht="24" customHeight="1">
      <c r="D112" s="1741"/>
      <c r="E112" s="1021"/>
      <c r="F112" s="1021"/>
      <c r="G112" s="1452">
        <v>0</v>
      </c>
      <c r="H112" s="3284"/>
      <c r="I112" s="3267"/>
      <c r="J112" s="3278"/>
      <c r="K112" s="3269" t="s">
        <v>955</v>
      </c>
      <c r="L112" s="3279"/>
      <c r="M112" s="3279"/>
      <c r="N112" s="3279"/>
      <c r="O112" s="2235">
        <v>1</v>
      </c>
    </row>
    <row r="113" spans="2:15" ht="57" hidden="1" customHeight="1">
      <c r="B113" s="1234" t="s">
        <v>956</v>
      </c>
      <c r="D113" s="1741"/>
      <c r="E113" s="1021"/>
      <c r="F113" s="1021"/>
      <c r="G113" s="1452">
        <v>0</v>
      </c>
      <c r="H113" s="1762"/>
      <c r="I113" s="1748"/>
      <c r="J113" s="1748"/>
      <c r="K113" s="3269" t="s">
        <v>957</v>
      </c>
      <c r="L113" s="3270"/>
      <c r="M113" s="3270"/>
      <c r="N113" s="3270"/>
      <c r="O113" s="2235" t="s">
        <v>2602</v>
      </c>
    </row>
    <row r="114" spans="2:15" ht="31.5" customHeight="1">
      <c r="D114" s="1741"/>
      <c r="E114" s="1021"/>
      <c r="F114" s="1021"/>
      <c r="G114" s="1452">
        <v>0</v>
      </c>
      <c r="H114" s="3257" t="s">
        <v>2603</v>
      </c>
      <c r="I114" s="3271"/>
      <c r="J114" s="3272"/>
      <c r="K114" s="2918" t="s">
        <v>958</v>
      </c>
      <c r="L114" s="3235"/>
      <c r="M114" s="3235"/>
      <c r="N114" s="3235"/>
      <c r="O114" s="2235">
        <v>1</v>
      </c>
    </row>
    <row r="115" spans="2:15" ht="27" customHeight="1" thickBot="1">
      <c r="D115" s="1741"/>
      <c r="E115" s="1021"/>
      <c r="F115" s="1021"/>
      <c r="G115" s="1459">
        <v>0</v>
      </c>
      <c r="H115" s="3273"/>
      <c r="I115" s="3274"/>
      <c r="J115" s="3275"/>
      <c r="K115" s="3266" t="s">
        <v>959</v>
      </c>
      <c r="L115" s="3267"/>
      <c r="M115" s="3267"/>
      <c r="N115" s="3267"/>
      <c r="O115" s="2236">
        <v>1</v>
      </c>
    </row>
    <row r="116" spans="2:15" ht="14.25">
      <c r="D116" s="1741"/>
      <c r="E116" s="1021"/>
      <c r="F116" s="1021"/>
      <c r="G116" s="1312" t="s">
        <v>1899</v>
      </c>
      <c r="H116" s="3268">
        <f>SUM(G109:G115)</f>
        <v>3</v>
      </c>
      <c r="I116" s="3268"/>
      <c r="J116" s="3268"/>
      <c r="K116" s="1314"/>
      <c r="L116" s="1315"/>
      <c r="M116" s="1314"/>
      <c r="N116" s="1315"/>
      <c r="O116" s="1426"/>
    </row>
    <row r="117" spans="2:15" ht="16.5" customHeight="1">
      <c r="D117" s="1741"/>
      <c r="E117" s="1021"/>
      <c r="F117" s="1021"/>
      <c r="G117" s="1021"/>
      <c r="H117" s="1021"/>
      <c r="I117" s="1021"/>
      <c r="J117" s="1021"/>
      <c r="K117" s="1021"/>
      <c r="L117" s="1021"/>
      <c r="M117" s="1021"/>
      <c r="N117" s="1021"/>
      <c r="O117" s="1021"/>
    </row>
    <row r="118" spans="2:15" ht="19.5" customHeight="1">
      <c r="D118" s="1742">
        <v>3</v>
      </c>
      <c r="E118" s="1032" t="s">
        <v>2886</v>
      </c>
      <c r="F118" s="1032"/>
      <c r="G118" s="1021"/>
      <c r="H118" s="1021"/>
      <c r="I118" s="1021"/>
      <c r="J118" s="1021"/>
      <c r="K118" s="1021"/>
      <c r="L118" s="1021"/>
      <c r="M118" s="1021"/>
      <c r="N118" s="1021"/>
      <c r="O118" s="1021"/>
    </row>
    <row r="119" spans="2:15" ht="14.25">
      <c r="D119" s="1742">
        <v>3.1</v>
      </c>
      <c r="E119" s="1032" t="s">
        <v>960</v>
      </c>
      <c r="F119" s="1032"/>
      <c r="G119" s="1031"/>
      <c r="H119" s="1032"/>
      <c r="I119" s="1032"/>
      <c r="J119" s="1032"/>
      <c r="K119" s="1032"/>
      <c r="L119" s="1032"/>
      <c r="M119" s="1032"/>
      <c r="N119" s="1032"/>
      <c r="O119" s="2228"/>
    </row>
    <row r="120" spans="2:15" ht="14.25">
      <c r="D120" s="1742"/>
      <c r="E120" s="1032"/>
      <c r="F120" s="1763" t="s">
        <v>961</v>
      </c>
      <c r="G120" s="1031"/>
      <c r="H120" s="1032"/>
      <c r="I120" s="1032"/>
      <c r="J120" s="1032"/>
      <c r="K120" s="1032"/>
      <c r="L120" s="1032"/>
      <c r="M120" s="1032"/>
      <c r="N120" s="1032"/>
      <c r="O120" s="2228"/>
    </row>
    <row r="121" spans="2:15" ht="15" thickBot="1">
      <c r="D121" s="1742"/>
      <c r="E121" s="1260"/>
      <c r="F121" s="1185"/>
      <c r="G121" s="1043"/>
      <c r="H121" s="1044" t="s">
        <v>1484</v>
      </c>
      <c r="I121" s="1045"/>
      <c r="J121" s="1046">
        <f>重み!M171</f>
        <v>0.33333333333333331</v>
      </c>
      <c r="K121" s="1186"/>
      <c r="L121" s="1186"/>
      <c r="M121" s="1186"/>
      <c r="N121" s="1186"/>
      <c r="O121" s="1055"/>
    </row>
    <row r="122" spans="2:15" ht="16.5" thickBot="1">
      <c r="D122" s="1025"/>
      <c r="E122" s="1025"/>
      <c r="F122" s="1049">
        <v>3</v>
      </c>
      <c r="G122" s="1053" t="s">
        <v>2420</v>
      </c>
      <c r="H122" s="1054"/>
      <c r="I122" s="1054"/>
      <c r="J122" s="1054"/>
      <c r="K122" s="1054"/>
      <c r="L122" s="1389"/>
      <c r="M122" s="1054"/>
      <c r="N122" s="1166" t="s">
        <v>962</v>
      </c>
      <c r="O122" s="1055"/>
    </row>
    <row r="123" spans="2:15" ht="20.25" customHeight="1">
      <c r="B123" s="1">
        <v>1</v>
      </c>
      <c r="C123" s="1">
        <v>1</v>
      </c>
      <c r="D123" s="1025"/>
      <c r="E123" s="1025"/>
      <c r="F123" s="1061" t="str">
        <f>IF(F122=$S$15,$T$10,IF(ROUNDDOWN(F122,0)=$S$10,$U$10,$T$10))</f>
        <v>　レベル　1</v>
      </c>
      <c r="G123" s="1291" t="s">
        <v>2604</v>
      </c>
      <c r="H123" s="1372"/>
      <c r="I123" s="1372"/>
      <c r="J123" s="1372"/>
      <c r="K123" s="1372"/>
      <c r="L123" s="1561"/>
      <c r="M123" s="1372"/>
      <c r="N123" s="3245" t="s">
        <v>2605</v>
      </c>
      <c r="O123" s="3246"/>
    </row>
    <row r="124" spans="2:15" ht="20.25" customHeight="1">
      <c r="B124" s="1" t="s">
        <v>1271</v>
      </c>
      <c r="C124" s="1">
        <v>2</v>
      </c>
      <c r="D124" s="1025"/>
      <c r="E124" s="1025"/>
      <c r="F124" s="1061" t="str">
        <f>IF(F122=$S$15,$T$11,IF(ROUNDDOWN(F122,0)=$S$11,$U$11,$T$11))</f>
        <v>　レベル　2</v>
      </c>
      <c r="G124" s="1294" t="s">
        <v>2365</v>
      </c>
      <c r="H124" s="1430"/>
      <c r="I124" s="1430"/>
      <c r="J124" s="1430"/>
      <c r="K124" s="1430"/>
      <c r="L124" s="1562"/>
      <c r="M124" s="1430"/>
      <c r="N124" s="3247"/>
      <c r="O124" s="3248"/>
    </row>
    <row r="125" spans="2:15" ht="20.25" customHeight="1">
      <c r="B125" s="1">
        <v>3</v>
      </c>
      <c r="C125" s="1">
        <v>3</v>
      </c>
      <c r="D125" s="1025"/>
      <c r="E125" s="1025"/>
      <c r="F125" s="1061" t="str">
        <f>IF(F122=$S$15,$T$12,IF(ROUNDDOWN(F122,0)=$S$12,$U$12,$T$12))</f>
        <v>■レベル　3</v>
      </c>
      <c r="G125" s="1294" t="s">
        <v>2606</v>
      </c>
      <c r="H125" s="1430"/>
      <c r="I125" s="1430"/>
      <c r="J125" s="1430"/>
      <c r="K125" s="1430"/>
      <c r="L125" s="1562"/>
      <c r="M125" s="1430"/>
      <c r="N125" s="3247"/>
      <c r="O125" s="3248"/>
    </row>
    <row r="126" spans="2:15" ht="20.25" customHeight="1">
      <c r="B126" s="1" t="s">
        <v>1271</v>
      </c>
      <c r="C126" s="1">
        <v>4</v>
      </c>
      <c r="D126" s="1025"/>
      <c r="E126" s="1025"/>
      <c r="F126" s="1061" t="str">
        <f>IF(F122=$S$15,$T$13,IF(ROUNDDOWN(F122,0)=$S$13,$U$13,$T$13))</f>
        <v>　レベル　4</v>
      </c>
      <c r="G126" s="1294" t="s">
        <v>2365</v>
      </c>
      <c r="H126" s="1430"/>
      <c r="I126" s="1430"/>
      <c r="J126" s="1430"/>
      <c r="K126" s="1430"/>
      <c r="L126" s="1562"/>
      <c r="M126" s="1430"/>
      <c r="N126" s="3247"/>
      <c r="O126" s="3248"/>
    </row>
    <row r="127" spans="2:15" ht="20.25" customHeight="1">
      <c r="B127" s="1">
        <v>5</v>
      </c>
      <c r="C127" s="1">
        <v>5</v>
      </c>
      <c r="D127" s="1025"/>
      <c r="E127" s="1025"/>
      <c r="F127" s="1072" t="str">
        <f>IF(F122=$S$15,$T$14,IF(ROUNDDOWN(F122,0)=$S$14,$U$14,$T$14))</f>
        <v>　レベル　5</v>
      </c>
      <c r="G127" s="1297" t="s">
        <v>572</v>
      </c>
      <c r="H127" s="1440"/>
      <c r="I127" s="1440"/>
      <c r="J127" s="1440"/>
      <c r="K127" s="1440"/>
      <c r="L127" s="1764"/>
      <c r="M127" s="1440"/>
      <c r="N127" s="3249"/>
      <c r="O127" s="3250"/>
    </row>
    <row r="128" spans="2:15" ht="25.5" customHeight="1">
      <c r="B128" s="1079">
        <v>0</v>
      </c>
      <c r="C128" s="1079">
        <v>0</v>
      </c>
      <c r="F128" s="3241" t="s">
        <v>1673</v>
      </c>
      <c r="G128" s="3241"/>
      <c r="H128" s="3241"/>
      <c r="I128" s="3241"/>
      <c r="J128" s="3241"/>
      <c r="K128" s="3241"/>
      <c r="L128" s="3241"/>
      <c r="M128" s="3241"/>
      <c r="N128" s="3241"/>
      <c r="O128" s="3241"/>
    </row>
    <row r="129" spans="4:15" ht="15.75">
      <c r="F129" s="1479" t="s">
        <v>963</v>
      </c>
      <c r="G129" s="1479"/>
      <c r="H129" s="1025"/>
      <c r="I129" s="1025"/>
      <c r="J129" s="1025"/>
      <c r="K129" s="1032"/>
      <c r="L129" s="1032"/>
    </row>
    <row r="130" spans="4:15">
      <c r="F130" s="1598" t="s">
        <v>1674</v>
      </c>
    </row>
    <row r="131" spans="4:15">
      <c r="F131" s="1765"/>
      <c r="G131" s="3242" t="s">
        <v>964</v>
      </c>
      <c r="H131" s="3243"/>
      <c r="I131" s="3244"/>
      <c r="J131" s="3242" t="s">
        <v>965</v>
      </c>
      <c r="K131" s="3243"/>
      <c r="L131" s="3244"/>
    </row>
    <row r="132" spans="4:15" s="2716" customFormat="1" ht="40.5" customHeight="1">
      <c r="D132" s="2203"/>
      <c r="E132" s="2203"/>
      <c r="F132" s="2754"/>
      <c r="G132" s="3348" t="s">
        <v>3402</v>
      </c>
      <c r="H132" s="3346"/>
      <c r="I132" s="3347"/>
      <c r="J132" s="3348" t="s">
        <v>3403</v>
      </c>
      <c r="K132" s="3346"/>
      <c r="L132" s="3347"/>
      <c r="M132" s="2203"/>
      <c r="N132" s="2203"/>
      <c r="O132" s="2203"/>
    </row>
    <row r="133" spans="4:15" ht="14.25">
      <c r="F133" s="1766"/>
      <c r="G133" s="1767" t="s">
        <v>1675</v>
      </c>
      <c r="H133" s="1768" t="s">
        <v>1676</v>
      </c>
      <c r="I133" s="1769" t="s">
        <v>1677</v>
      </c>
      <c r="J133" s="1767" t="s">
        <v>1675</v>
      </c>
      <c r="K133" s="1768" t="s">
        <v>1676</v>
      </c>
      <c r="L133" s="1769" t="s">
        <v>1677</v>
      </c>
    </row>
    <row r="134" spans="4:15" ht="29.25" customHeight="1">
      <c r="F134" s="1061" t="s">
        <v>966</v>
      </c>
      <c r="G134" s="1770" t="s">
        <v>967</v>
      </c>
      <c r="H134" s="1771" t="s">
        <v>967</v>
      </c>
      <c r="I134" s="1772" t="s">
        <v>967</v>
      </c>
      <c r="J134" s="1770" t="s">
        <v>967</v>
      </c>
      <c r="K134" s="1771" t="s">
        <v>967</v>
      </c>
      <c r="L134" s="1772" t="s">
        <v>967</v>
      </c>
    </row>
    <row r="135" spans="4:15">
      <c r="F135" s="1061" t="s">
        <v>3097</v>
      </c>
      <c r="G135" s="1773"/>
      <c r="H135" s="1768"/>
      <c r="I135" s="1774"/>
      <c r="J135" s="1773"/>
      <c r="K135" s="1768"/>
      <c r="L135" s="1774"/>
    </row>
    <row r="136" spans="4:15">
      <c r="F136" s="1061" t="s">
        <v>3098</v>
      </c>
      <c r="G136" s="1773" t="s">
        <v>968</v>
      </c>
      <c r="H136" s="1768" t="s">
        <v>969</v>
      </c>
      <c r="I136" s="1774" t="s">
        <v>969</v>
      </c>
      <c r="J136" s="1773" t="s">
        <v>3404</v>
      </c>
      <c r="K136" s="1768" t="s">
        <v>968</v>
      </c>
      <c r="L136" s="1774" t="s">
        <v>3405</v>
      </c>
    </row>
    <row r="137" spans="4:15">
      <c r="F137" s="1061" t="s">
        <v>3099</v>
      </c>
      <c r="G137" s="1773"/>
      <c r="H137" s="1768"/>
      <c r="I137" s="1774"/>
      <c r="J137" s="1773"/>
      <c r="K137" s="1768"/>
      <c r="L137" s="1774"/>
    </row>
    <row r="138" spans="4:15">
      <c r="F138" s="1072" t="s">
        <v>3100</v>
      </c>
      <c r="G138" s="1775" t="s">
        <v>3406</v>
      </c>
      <c r="H138" s="1776" t="s">
        <v>3407</v>
      </c>
      <c r="I138" s="1777" t="s">
        <v>3407</v>
      </c>
      <c r="J138" s="1775" t="s">
        <v>969</v>
      </c>
      <c r="K138" s="1776" t="s">
        <v>970</v>
      </c>
      <c r="L138" s="1777" t="s">
        <v>3407</v>
      </c>
    </row>
    <row r="139" spans="4:15">
      <c r="F139" s="1765"/>
      <c r="G139" s="3242" t="s">
        <v>971</v>
      </c>
      <c r="H139" s="3243"/>
      <c r="I139" s="3244"/>
      <c r="J139" s="3242" t="s">
        <v>972</v>
      </c>
      <c r="K139" s="3243"/>
      <c r="L139" s="3244"/>
    </row>
    <row r="140" spans="4:15" s="2716" customFormat="1">
      <c r="D140" s="2203"/>
      <c r="E140" s="2203"/>
      <c r="F140" s="2754"/>
      <c r="G140" s="3343" t="s">
        <v>3408</v>
      </c>
      <c r="H140" s="3344"/>
      <c r="I140" s="3344"/>
      <c r="J140" s="3349" t="s">
        <v>3409</v>
      </c>
      <c r="K140" s="3344"/>
      <c r="L140" s="3350"/>
      <c r="M140" s="2203"/>
      <c r="N140" s="2203"/>
      <c r="O140" s="2203"/>
    </row>
    <row r="141" spans="4:15">
      <c r="F141" s="1501"/>
      <c r="G141" s="1767" t="s">
        <v>1678</v>
      </c>
      <c r="H141" s="1768" t="s">
        <v>1679</v>
      </c>
      <c r="I141" s="1769" t="s">
        <v>1680</v>
      </c>
      <c r="J141" s="1767" t="s">
        <v>1678</v>
      </c>
      <c r="K141" s="1768" t="s">
        <v>1679</v>
      </c>
      <c r="L141" s="1769" t="s">
        <v>1680</v>
      </c>
    </row>
    <row r="142" spans="4:15" ht="29.25" customHeight="1">
      <c r="F142" s="1061" t="s">
        <v>966</v>
      </c>
      <c r="G142" s="1770" t="s">
        <v>967</v>
      </c>
      <c r="H142" s="1771" t="s">
        <v>967</v>
      </c>
      <c r="I142" s="1772" t="s">
        <v>967</v>
      </c>
      <c r="J142" s="1770" t="s">
        <v>967</v>
      </c>
      <c r="K142" s="1771" t="s">
        <v>967</v>
      </c>
      <c r="L142" s="1772" t="s">
        <v>967</v>
      </c>
    </row>
    <row r="143" spans="4:15">
      <c r="F143" s="1061" t="s">
        <v>3097</v>
      </c>
      <c r="G143" s="2755"/>
      <c r="H143" s="2756"/>
      <c r="I143" s="2757"/>
      <c r="J143" s="2755"/>
      <c r="K143" s="2756"/>
      <c r="L143" s="2758"/>
    </row>
    <row r="144" spans="4:15">
      <c r="F144" s="1061" t="s">
        <v>3098</v>
      </c>
      <c r="G144" s="2755" t="s">
        <v>3410</v>
      </c>
      <c r="H144" s="2756" t="s">
        <v>3411</v>
      </c>
      <c r="I144" s="2757" t="s">
        <v>975</v>
      </c>
      <c r="J144" s="2755" t="s">
        <v>3411</v>
      </c>
      <c r="K144" s="2756" t="s">
        <v>3412</v>
      </c>
      <c r="L144" s="2758" t="s">
        <v>3413</v>
      </c>
    </row>
    <row r="145" spans="2:15">
      <c r="F145" s="1061" t="s">
        <v>3099</v>
      </c>
      <c r="G145" s="2755"/>
      <c r="H145" s="2756"/>
      <c r="I145" s="2757"/>
      <c r="J145" s="2755"/>
      <c r="K145" s="2756"/>
      <c r="L145" s="2758"/>
    </row>
    <row r="146" spans="2:15">
      <c r="F146" s="1072" t="s">
        <v>3100</v>
      </c>
      <c r="G146" s="2759" t="s">
        <v>3412</v>
      </c>
      <c r="H146" s="2760" t="s">
        <v>3413</v>
      </c>
      <c r="I146" s="2761" t="s">
        <v>969</v>
      </c>
      <c r="J146" s="2759" t="s">
        <v>3413</v>
      </c>
      <c r="K146" s="2760" t="s">
        <v>3414</v>
      </c>
      <c r="L146" s="2762" t="s">
        <v>3415</v>
      </c>
    </row>
    <row r="147" spans="2:15" s="2716" customFormat="1">
      <c r="F147" s="1765"/>
      <c r="G147" s="3242" t="s">
        <v>972</v>
      </c>
      <c r="H147" s="3243"/>
      <c r="I147" s="3244"/>
      <c r="J147" s="3242" t="s">
        <v>395</v>
      </c>
      <c r="K147" s="3243"/>
      <c r="L147" s="3244"/>
    </row>
    <row r="148" spans="2:15" s="2716" customFormat="1">
      <c r="F148" s="2763"/>
      <c r="G148" s="3348" t="s">
        <v>3416</v>
      </c>
      <c r="H148" s="3077"/>
      <c r="I148" s="3114"/>
      <c r="J148" s="3348" t="s">
        <v>3417</v>
      </c>
      <c r="K148" s="3346"/>
      <c r="L148" s="3347"/>
    </row>
    <row r="149" spans="2:15" s="2716" customFormat="1">
      <c r="F149" s="1501"/>
      <c r="G149" s="1767" t="s">
        <v>3418</v>
      </c>
      <c r="H149" s="1768" t="s">
        <v>3419</v>
      </c>
      <c r="I149" s="1769" t="s">
        <v>3420</v>
      </c>
      <c r="J149" s="1767" t="s">
        <v>3421</v>
      </c>
      <c r="K149" s="1768" t="s">
        <v>3422</v>
      </c>
      <c r="L149" s="1769" t="s">
        <v>3423</v>
      </c>
    </row>
    <row r="150" spans="2:15" s="2716" customFormat="1" ht="29.25" customHeight="1">
      <c r="F150" s="1061" t="s">
        <v>966</v>
      </c>
      <c r="G150" s="1770" t="s">
        <v>967</v>
      </c>
      <c r="H150" s="1771" t="s">
        <v>967</v>
      </c>
      <c r="I150" s="1772" t="s">
        <v>967</v>
      </c>
      <c r="J150" s="1770" t="s">
        <v>967</v>
      </c>
      <c r="K150" s="1771" t="s">
        <v>967</v>
      </c>
      <c r="L150" s="1772" t="s">
        <v>967</v>
      </c>
    </row>
    <row r="151" spans="2:15" s="2716" customFormat="1">
      <c r="F151" s="1061" t="s">
        <v>3097</v>
      </c>
      <c r="G151" s="1773"/>
      <c r="H151" s="1768"/>
      <c r="I151" s="1774"/>
      <c r="J151" s="1773"/>
      <c r="K151" s="1768"/>
      <c r="L151" s="1774"/>
    </row>
    <row r="152" spans="2:15" s="2716" customFormat="1">
      <c r="F152" s="1061" t="s">
        <v>3098</v>
      </c>
      <c r="G152" s="1773" t="s">
        <v>976</v>
      </c>
      <c r="H152" s="1768" t="s">
        <v>3424</v>
      </c>
      <c r="I152" s="1774" t="s">
        <v>3425</v>
      </c>
      <c r="J152" s="1773" t="s">
        <v>3426</v>
      </c>
      <c r="K152" s="1768" t="s">
        <v>3426</v>
      </c>
      <c r="L152" s="1774" t="s">
        <v>3427</v>
      </c>
    </row>
    <row r="153" spans="2:15" s="2716" customFormat="1">
      <c r="F153" s="1061" t="s">
        <v>3099</v>
      </c>
      <c r="G153" s="1773"/>
      <c r="H153" s="1768"/>
      <c r="I153" s="1774"/>
      <c r="J153" s="1773"/>
      <c r="K153" s="1768"/>
      <c r="L153" s="1774"/>
    </row>
    <row r="154" spans="2:15" s="2716" customFormat="1">
      <c r="F154" s="1072" t="s">
        <v>3100</v>
      </c>
      <c r="G154" s="1775" t="s">
        <v>973</v>
      </c>
      <c r="H154" s="1776" t="s">
        <v>3428</v>
      </c>
      <c r="I154" s="1777" t="s">
        <v>3429</v>
      </c>
      <c r="J154" s="1775" t="s">
        <v>3424</v>
      </c>
      <c r="K154" s="1776" t="s">
        <v>3424</v>
      </c>
      <c r="L154" s="1777" t="s">
        <v>3425</v>
      </c>
    </row>
    <row r="155" spans="2:15" ht="15.75">
      <c r="D155" s="1025"/>
      <c r="E155" s="1025"/>
      <c r="F155" s="1025"/>
      <c r="G155" s="1025"/>
      <c r="H155" s="1025"/>
      <c r="I155" s="1025"/>
      <c r="J155" s="1025"/>
      <c r="K155" s="1025"/>
      <c r="L155" s="1025"/>
      <c r="M155" s="1025"/>
      <c r="N155" s="1025"/>
      <c r="O155" s="2228"/>
    </row>
    <row r="156" spans="2:15" ht="15.75">
      <c r="D156" s="1025"/>
      <c r="E156" s="1025"/>
      <c r="F156" s="1763" t="s">
        <v>1681</v>
      </c>
      <c r="G156" s="1025"/>
      <c r="H156" s="1025"/>
      <c r="I156" s="1025"/>
      <c r="J156" s="1025"/>
      <c r="K156" s="1025"/>
      <c r="L156" s="1025"/>
      <c r="M156" s="1025"/>
      <c r="N156" s="1025"/>
      <c r="O156" s="2228"/>
    </row>
    <row r="157" spans="2:15" ht="15" thickBot="1">
      <c r="D157" s="1742"/>
      <c r="E157" s="1260"/>
      <c r="F157" s="1185"/>
      <c r="G157" s="1043"/>
      <c r="H157" s="1044" t="s">
        <v>1484</v>
      </c>
      <c r="I157" s="1045"/>
      <c r="J157" s="1046">
        <f>重み!M172</f>
        <v>0.33333333333333331</v>
      </c>
      <c r="K157" s="1186"/>
      <c r="L157" s="1186"/>
      <c r="M157" s="1186"/>
      <c r="N157" s="1186"/>
      <c r="O157" s="1055"/>
    </row>
    <row r="158" spans="2:15" ht="15" thickBot="1">
      <c r="D158" s="1742"/>
      <c r="E158" s="1032"/>
      <c r="F158" s="1049">
        <v>3</v>
      </c>
      <c r="G158" s="1053" t="s">
        <v>2420</v>
      </c>
      <c r="H158" s="1054"/>
      <c r="I158" s="1054"/>
      <c r="J158" s="1054"/>
      <c r="K158" s="1054"/>
      <c r="L158" s="1389"/>
      <c r="M158" s="1054"/>
      <c r="N158" s="1166" t="s">
        <v>962</v>
      </c>
      <c r="O158" s="1055"/>
    </row>
    <row r="159" spans="2:15" ht="20.25" customHeight="1">
      <c r="B159" s="1">
        <v>1</v>
      </c>
      <c r="C159" s="1">
        <v>1</v>
      </c>
      <c r="D159" s="1742"/>
      <c r="E159" s="1032"/>
      <c r="F159" s="1061" t="str">
        <f>IF(F158=$S$15,$T$10,IF(ROUNDDOWN(F158,0)=$S$10,$U$10,$T$10))</f>
        <v>　レベル　1</v>
      </c>
      <c r="G159" s="1291" t="s">
        <v>94</v>
      </c>
      <c r="H159" s="1372"/>
      <c r="I159" s="1372"/>
      <c r="J159" s="1372"/>
      <c r="K159" s="1372"/>
      <c r="L159" s="1561"/>
      <c r="M159" s="1372"/>
      <c r="N159" s="2849" t="s">
        <v>95</v>
      </c>
      <c r="O159" s="3291"/>
    </row>
    <row r="160" spans="2:15" ht="20.25" customHeight="1">
      <c r="B160" s="1" t="s">
        <v>573</v>
      </c>
      <c r="C160" s="1">
        <v>2</v>
      </c>
      <c r="D160" s="1742"/>
      <c r="E160" s="1032"/>
      <c r="F160" s="1061" t="str">
        <f>IF(F158=$S$15,$T$11,IF(ROUNDDOWN(F158,0)=$S$11,$U$11,$T$11))</f>
        <v>　レベル　2</v>
      </c>
      <c r="G160" s="1294" t="s">
        <v>2365</v>
      </c>
      <c r="H160" s="1430"/>
      <c r="I160" s="1430"/>
      <c r="J160" s="1430"/>
      <c r="K160" s="1430"/>
      <c r="L160" s="1562"/>
      <c r="M160" s="1430"/>
      <c r="N160" s="3292"/>
      <c r="O160" s="3113"/>
    </row>
    <row r="161" spans="2:15" ht="20.25" customHeight="1">
      <c r="B161" s="1">
        <v>3</v>
      </c>
      <c r="C161" s="1">
        <v>3</v>
      </c>
      <c r="D161" s="1742"/>
      <c r="E161" s="1032"/>
      <c r="F161" s="1061" t="str">
        <f>IF(F158=$S$15,$T$12,IF(ROUNDDOWN(F158,0)=$S$12,$U$12,$T$12))</f>
        <v>■レベル　3</v>
      </c>
      <c r="G161" s="1294" t="s">
        <v>96</v>
      </c>
      <c r="H161" s="1430"/>
      <c r="I161" s="1430"/>
      <c r="J161" s="1430"/>
      <c r="K161" s="1430"/>
      <c r="L161" s="1562"/>
      <c r="M161" s="1430"/>
      <c r="N161" s="3292"/>
      <c r="O161" s="3113"/>
    </row>
    <row r="162" spans="2:15" ht="20.25" customHeight="1">
      <c r="B162" s="1" t="s">
        <v>242</v>
      </c>
      <c r="C162" s="1">
        <v>4</v>
      </c>
      <c r="D162" s="1742"/>
      <c r="E162" s="1032"/>
      <c r="F162" s="1061" t="str">
        <f>IF(F158=$S$15,$T$13,IF(ROUNDDOWN(F158,0)=$S$13,$U$13,$T$13))</f>
        <v>　レベル　4</v>
      </c>
      <c r="G162" s="1294" t="s">
        <v>2365</v>
      </c>
      <c r="H162" s="1430"/>
      <c r="I162" s="1430"/>
      <c r="J162" s="1430"/>
      <c r="K162" s="1430"/>
      <c r="L162" s="1562"/>
      <c r="M162" s="1430"/>
      <c r="N162" s="3292"/>
      <c r="O162" s="3113"/>
    </row>
    <row r="163" spans="2:15" ht="20.25" customHeight="1">
      <c r="B163" s="1">
        <v>5</v>
      </c>
      <c r="C163" s="1">
        <v>5</v>
      </c>
      <c r="D163" s="1742"/>
      <c r="E163" s="1032"/>
      <c r="F163" s="1072" t="str">
        <f>IF(F158=$S$15,$T$14,IF(ROUNDDOWN(F158,0)=$S$14,$U$14,$T$14))</f>
        <v>　レベル　5</v>
      </c>
      <c r="G163" s="1297" t="s">
        <v>97</v>
      </c>
      <c r="H163" s="1440"/>
      <c r="I163" s="1440"/>
      <c r="J163" s="1440"/>
      <c r="K163" s="1440"/>
      <c r="L163" s="1764"/>
      <c r="M163" s="1440"/>
      <c r="N163" s="3293"/>
      <c r="O163" s="3294"/>
    </row>
    <row r="164" spans="2:15" ht="21" customHeight="1">
      <c r="B164" s="1079">
        <v>0</v>
      </c>
      <c r="C164" s="1079">
        <v>0</v>
      </c>
      <c r="D164" s="1742"/>
      <c r="E164" s="1032"/>
      <c r="F164" s="3241" t="s">
        <v>1227</v>
      </c>
      <c r="G164" s="3304"/>
      <c r="H164" s="3304"/>
      <c r="I164" s="3304"/>
      <c r="J164" s="3304"/>
      <c r="K164" s="3304"/>
      <c r="L164" s="3304"/>
      <c r="M164" s="3304"/>
      <c r="N164" s="3304"/>
      <c r="O164" s="1021"/>
    </row>
    <row r="165" spans="2:15" ht="15.75">
      <c r="D165" s="1742"/>
      <c r="E165" s="1032"/>
      <c r="F165" s="1479" t="s">
        <v>2165</v>
      </c>
      <c r="G165" s="1479"/>
      <c r="H165" s="1025"/>
      <c r="I165" s="1025"/>
      <c r="J165" s="1025"/>
      <c r="K165" s="1032"/>
      <c r="L165" s="1032"/>
    </row>
    <row r="166" spans="2:15" ht="14.25">
      <c r="D166" s="1742"/>
      <c r="E166" s="1032"/>
      <c r="F166" s="1598" t="s">
        <v>1228</v>
      </c>
    </row>
    <row r="167" spans="2:15" ht="14.25">
      <c r="D167" s="1742"/>
      <c r="E167" s="1032"/>
      <c r="F167" s="1778"/>
      <c r="G167" s="3242" t="s">
        <v>964</v>
      </c>
      <c r="H167" s="3243"/>
      <c r="I167" s="3244"/>
      <c r="J167" s="3242" t="s">
        <v>965</v>
      </c>
      <c r="K167" s="3243"/>
      <c r="L167" s="3244"/>
    </row>
    <row r="168" spans="2:15" s="2716" customFormat="1" ht="42.75" customHeight="1">
      <c r="D168" s="1742"/>
      <c r="E168" s="1032"/>
      <c r="F168" s="2764"/>
      <c r="G168" s="3348" t="s">
        <v>3430</v>
      </c>
      <c r="H168" s="3346"/>
      <c r="I168" s="3346"/>
      <c r="J168" s="3345" t="s">
        <v>3431</v>
      </c>
      <c r="K168" s="3346"/>
      <c r="L168" s="3347"/>
      <c r="M168" s="2203"/>
      <c r="N168" s="2203"/>
      <c r="O168" s="2203"/>
    </row>
    <row r="169" spans="2:15" ht="14.25">
      <c r="D169" s="1742"/>
      <c r="E169" s="1032"/>
      <c r="F169" s="1766"/>
      <c r="G169" s="1767" t="s">
        <v>1675</v>
      </c>
      <c r="H169" s="1768" t="s">
        <v>1677</v>
      </c>
      <c r="I169" s="1769"/>
      <c r="J169" s="1767" t="s">
        <v>1675</v>
      </c>
      <c r="K169" s="1768" t="s">
        <v>1677</v>
      </c>
      <c r="L169" s="1769"/>
    </row>
    <row r="170" spans="2:15" ht="29.25" customHeight="1">
      <c r="D170" s="1742"/>
      <c r="E170" s="1032"/>
      <c r="F170" s="1061" t="s">
        <v>966</v>
      </c>
      <c r="G170" s="1770" t="s">
        <v>967</v>
      </c>
      <c r="H170" s="1771" t="s">
        <v>967</v>
      </c>
      <c r="I170" s="1779"/>
      <c r="J170" s="1770" t="s">
        <v>967</v>
      </c>
      <c r="K170" s="1771" t="s">
        <v>967</v>
      </c>
      <c r="L170" s="1779"/>
    </row>
    <row r="171" spans="2:15" ht="14.25">
      <c r="D171" s="1742"/>
      <c r="E171" s="1032"/>
      <c r="F171" s="1061" t="s">
        <v>3097</v>
      </c>
      <c r="G171" s="1773"/>
      <c r="H171" s="1768"/>
      <c r="I171" s="1774"/>
      <c r="J171" s="1773"/>
      <c r="K171" s="1768"/>
      <c r="L171" s="1774"/>
    </row>
    <row r="172" spans="2:15" ht="14.25">
      <c r="D172" s="1742"/>
      <c r="E172" s="1032"/>
      <c r="F172" s="1061" t="s">
        <v>3098</v>
      </c>
      <c r="G172" s="1773" t="s">
        <v>973</v>
      </c>
      <c r="H172" s="1768" t="s">
        <v>974</v>
      </c>
      <c r="I172" s="1774"/>
      <c r="J172" s="1773" t="s">
        <v>2166</v>
      </c>
      <c r="K172" s="1768" t="s">
        <v>3432</v>
      </c>
      <c r="L172" s="1774"/>
    </row>
    <row r="173" spans="2:15" ht="14.25">
      <c r="D173" s="1742"/>
      <c r="E173" s="1032"/>
      <c r="F173" s="1061" t="s">
        <v>3099</v>
      </c>
      <c r="G173" s="1773"/>
      <c r="H173" s="1768"/>
      <c r="I173" s="1774"/>
      <c r="J173" s="1773"/>
      <c r="K173" s="1768"/>
      <c r="L173" s="1774"/>
    </row>
    <row r="174" spans="2:15" ht="14.25">
      <c r="D174" s="1742"/>
      <c r="E174" s="1032"/>
      <c r="F174" s="1072" t="s">
        <v>3100</v>
      </c>
      <c r="G174" s="1775" t="s">
        <v>974</v>
      </c>
      <c r="H174" s="1776" t="s">
        <v>975</v>
      </c>
      <c r="I174" s="1777"/>
      <c r="J174" s="1775" t="s">
        <v>973</v>
      </c>
      <c r="K174" s="1776" t="s">
        <v>3433</v>
      </c>
      <c r="L174" s="1777"/>
    </row>
    <row r="175" spans="2:15" s="2716" customFormat="1" ht="14.25">
      <c r="D175" s="1742"/>
      <c r="E175" s="1032"/>
      <c r="F175" s="1778"/>
      <c r="G175" s="3242" t="s">
        <v>3434</v>
      </c>
      <c r="H175" s="3243"/>
      <c r="I175" s="3243"/>
      <c r="J175" s="3341"/>
      <c r="K175" s="3341"/>
      <c r="L175" s="3342"/>
      <c r="M175" s="3242" t="s">
        <v>395</v>
      </c>
      <c r="N175" s="3243"/>
      <c r="O175" s="3244"/>
    </row>
    <row r="176" spans="2:15" s="2716" customFormat="1" ht="30" customHeight="1">
      <c r="D176" s="1742"/>
      <c r="E176" s="1032"/>
      <c r="F176" s="2764"/>
      <c r="G176" s="3343" t="s">
        <v>3435</v>
      </c>
      <c r="H176" s="3344"/>
      <c r="I176" s="3344"/>
      <c r="J176" s="3345" t="s">
        <v>3416</v>
      </c>
      <c r="K176" s="3346"/>
      <c r="L176" s="3347"/>
      <c r="M176" s="3348" t="s">
        <v>3417</v>
      </c>
      <c r="N176" s="3346"/>
      <c r="O176" s="3347"/>
    </row>
    <row r="177" spans="2:15" s="2716" customFormat="1" ht="14.25">
      <c r="D177" s="1742"/>
      <c r="E177" s="1032"/>
      <c r="F177" s="1766"/>
      <c r="G177" s="1767" t="s">
        <v>3436</v>
      </c>
      <c r="H177" s="1768" t="s">
        <v>3437</v>
      </c>
      <c r="I177" s="1769"/>
      <c r="J177" s="1767" t="s">
        <v>3436</v>
      </c>
      <c r="K177" s="1768" t="s">
        <v>3437</v>
      </c>
      <c r="L177" s="1769"/>
      <c r="M177" s="1767" t="s">
        <v>3436</v>
      </c>
      <c r="N177" s="1768" t="s">
        <v>3437</v>
      </c>
      <c r="O177" s="1769"/>
    </row>
    <row r="178" spans="2:15" s="2716" customFormat="1" ht="29.25" customHeight="1">
      <c r="D178" s="1742"/>
      <c r="E178" s="1032"/>
      <c r="F178" s="1061" t="s">
        <v>966</v>
      </c>
      <c r="G178" s="1770" t="s">
        <v>967</v>
      </c>
      <c r="H178" s="1771" t="s">
        <v>967</v>
      </c>
      <c r="I178" s="1779"/>
      <c r="J178" s="1770" t="s">
        <v>967</v>
      </c>
      <c r="K178" s="1771" t="s">
        <v>967</v>
      </c>
      <c r="L178" s="1779"/>
      <c r="M178" s="1770" t="s">
        <v>967</v>
      </c>
      <c r="N178" s="1771" t="s">
        <v>967</v>
      </c>
      <c r="O178" s="1772"/>
    </row>
    <row r="179" spans="2:15" s="2716" customFormat="1" ht="14.25">
      <c r="D179" s="1742"/>
      <c r="E179" s="1032"/>
      <c r="F179" s="1061" t="s">
        <v>3097</v>
      </c>
      <c r="G179" s="1773"/>
      <c r="H179" s="1768"/>
      <c r="I179" s="1774"/>
      <c r="J179" s="1773"/>
      <c r="K179" s="1768"/>
      <c r="L179" s="1774"/>
      <c r="M179" s="1773"/>
      <c r="N179" s="1768"/>
      <c r="O179" s="1774"/>
    </row>
    <row r="180" spans="2:15" s="2716" customFormat="1" ht="14.25">
      <c r="D180" s="1742"/>
      <c r="E180" s="1032"/>
      <c r="F180" s="1061" t="s">
        <v>3098</v>
      </c>
      <c r="G180" s="1773" t="s">
        <v>3438</v>
      </c>
      <c r="H180" s="1768" t="s">
        <v>3439</v>
      </c>
      <c r="I180" s="1774"/>
      <c r="J180" s="1773" t="s">
        <v>3440</v>
      </c>
      <c r="K180" s="1768" t="s">
        <v>3438</v>
      </c>
      <c r="L180" s="1774"/>
      <c r="M180" s="1773" t="s">
        <v>3441</v>
      </c>
      <c r="N180" s="1768" t="s">
        <v>3440</v>
      </c>
      <c r="O180" s="1774"/>
    </row>
    <row r="181" spans="2:15" s="2716" customFormat="1" ht="14.25">
      <c r="D181" s="1742"/>
      <c r="E181" s="1032"/>
      <c r="F181" s="1061" t="s">
        <v>3099</v>
      </c>
      <c r="G181" s="1773"/>
      <c r="H181" s="1768"/>
      <c r="I181" s="1774"/>
      <c r="J181" s="1773"/>
      <c r="K181" s="1768"/>
      <c r="L181" s="1774"/>
      <c r="M181" s="1773"/>
      <c r="N181" s="1768"/>
      <c r="O181" s="1774"/>
    </row>
    <row r="182" spans="2:15" s="2716" customFormat="1" ht="14.25">
      <c r="D182" s="1742"/>
      <c r="E182" s="1032"/>
      <c r="F182" s="1072" t="s">
        <v>3100</v>
      </c>
      <c r="G182" s="1775" t="s">
        <v>3439</v>
      </c>
      <c r="H182" s="1776" t="s">
        <v>3442</v>
      </c>
      <c r="I182" s="1777"/>
      <c r="J182" s="1775" t="s">
        <v>3438</v>
      </c>
      <c r="K182" s="1776" t="s">
        <v>3439</v>
      </c>
      <c r="L182" s="1777"/>
      <c r="M182" s="1775" t="s">
        <v>3440</v>
      </c>
      <c r="N182" s="1776" t="s">
        <v>3438</v>
      </c>
      <c r="O182" s="1777"/>
    </row>
    <row r="183" spans="2:15" ht="14.25">
      <c r="D183" s="1742"/>
      <c r="E183" s="1032"/>
      <c r="F183" s="2206"/>
      <c r="G183" s="2206"/>
      <c r="H183" s="1609"/>
      <c r="I183" s="1609"/>
      <c r="J183" s="1609"/>
      <c r="K183" s="1609"/>
      <c r="L183" s="1609"/>
    </row>
    <row r="184" spans="2:15" ht="14.25">
      <c r="D184" s="1742"/>
      <c r="E184" s="1032"/>
      <c r="F184" s="1763" t="s">
        <v>1229</v>
      </c>
      <c r="G184" s="2206"/>
      <c r="H184" s="1609"/>
      <c r="I184" s="1609"/>
      <c r="J184" s="1609"/>
      <c r="K184" s="1609"/>
      <c r="L184" s="1609"/>
      <c r="M184" s="1609"/>
      <c r="N184" s="1609"/>
      <c r="O184" s="2228"/>
    </row>
    <row r="185" spans="2:15" ht="15" thickBot="1">
      <c r="D185" s="1742"/>
      <c r="E185" s="1260"/>
      <c r="F185" s="1185"/>
      <c r="G185" s="1043"/>
      <c r="H185" s="1044" t="s">
        <v>1484</v>
      </c>
      <c r="I185" s="1045"/>
      <c r="J185" s="1046">
        <f>重み!M173</f>
        <v>0.33333333333333331</v>
      </c>
      <c r="K185" s="1186"/>
      <c r="L185" s="1186"/>
      <c r="M185" s="1186"/>
      <c r="N185" s="1186"/>
      <c r="O185" s="1055"/>
    </row>
    <row r="186" spans="2:15" ht="16.5" thickBot="1">
      <c r="D186" s="1025"/>
      <c r="E186" s="1025"/>
      <c r="F186" s="1049">
        <v>3</v>
      </c>
      <c r="G186" s="1053" t="s">
        <v>2420</v>
      </c>
      <c r="H186" s="1054"/>
      <c r="I186" s="1054"/>
      <c r="J186" s="1054"/>
      <c r="K186" s="1054"/>
      <c r="L186" s="1389"/>
      <c r="M186" s="1054"/>
      <c r="N186" s="1166" t="s">
        <v>962</v>
      </c>
      <c r="O186" s="1055"/>
    </row>
    <row r="187" spans="2:15" ht="15.75">
      <c r="B187" s="1">
        <v>1</v>
      </c>
      <c r="C187" s="1">
        <v>1</v>
      </c>
      <c r="D187" s="1025"/>
      <c r="E187" s="1025"/>
      <c r="F187" s="1061" t="str">
        <f>IF(F186=$S$15,$T$10,IF(ROUNDDOWN(F186,0)=$S$10,$U$10,$T$10))</f>
        <v>　レベル　1</v>
      </c>
      <c r="G187" s="1291" t="s">
        <v>1230</v>
      </c>
      <c r="H187" s="1372"/>
      <c r="I187" s="1372"/>
      <c r="J187" s="1372"/>
      <c r="K187" s="1372"/>
      <c r="L187" s="1561"/>
      <c r="M187" s="1372"/>
      <c r="N187" s="3245" t="s">
        <v>1809</v>
      </c>
      <c r="O187" s="3246"/>
    </row>
    <row r="188" spans="2:15" ht="15.75">
      <c r="B188" s="1" t="s">
        <v>573</v>
      </c>
      <c r="C188" s="1">
        <v>2</v>
      </c>
      <c r="D188" s="1025"/>
      <c r="E188" s="1025"/>
      <c r="F188" s="1061" t="str">
        <f>IF(F186=$S$15,$T$11,IF(ROUNDDOWN(F186,0)=$S$11,$U$11,$T$11))</f>
        <v>　レベル　2</v>
      </c>
      <c r="G188" s="1294" t="s">
        <v>2365</v>
      </c>
      <c r="H188" s="1430"/>
      <c r="I188" s="1430"/>
      <c r="J188" s="1430"/>
      <c r="K188" s="1430"/>
      <c r="L188" s="1562"/>
      <c r="M188" s="1430"/>
      <c r="N188" s="3247"/>
      <c r="O188" s="3248"/>
    </row>
    <row r="189" spans="2:15" ht="15.75">
      <c r="B189" s="1">
        <v>3</v>
      </c>
      <c r="C189" s="1">
        <v>3</v>
      </c>
      <c r="D189" s="1025"/>
      <c r="E189" s="1025"/>
      <c r="F189" s="1061" t="str">
        <f>IF(F186=$S$15,$T$12,IF(ROUNDDOWN(F186,0)=$S$12,$U$12,$T$12))</f>
        <v>■レベル　3</v>
      </c>
      <c r="G189" s="1294" t="s">
        <v>1231</v>
      </c>
      <c r="H189" s="1430"/>
      <c r="I189" s="1430"/>
      <c r="J189" s="1430"/>
      <c r="K189" s="1430"/>
      <c r="L189" s="1562"/>
      <c r="M189" s="1430"/>
      <c r="N189" s="3247"/>
      <c r="O189" s="3248"/>
    </row>
    <row r="190" spans="2:15" ht="15.75">
      <c r="B190" s="1" t="s">
        <v>573</v>
      </c>
      <c r="C190" s="1">
        <v>4</v>
      </c>
      <c r="D190" s="1025"/>
      <c r="E190" s="1025"/>
      <c r="F190" s="1061" t="str">
        <f>IF(F186=$S$15,$T$13,IF(ROUNDDOWN(F186,0)=$S$13,$U$13,$T$13))</f>
        <v>　レベル　4</v>
      </c>
      <c r="G190" s="1294" t="s">
        <v>2365</v>
      </c>
      <c r="H190" s="1430"/>
      <c r="I190" s="1430"/>
      <c r="J190" s="1430"/>
      <c r="K190" s="1430"/>
      <c r="L190" s="1562"/>
      <c r="M190" s="1430"/>
      <c r="N190" s="3247"/>
      <c r="O190" s="3248"/>
    </row>
    <row r="191" spans="2:15" ht="15.75">
      <c r="B191" s="1" t="s">
        <v>573</v>
      </c>
      <c r="C191" s="1">
        <v>5</v>
      </c>
      <c r="D191" s="1025"/>
      <c r="E191" s="2237"/>
      <c r="F191" s="1072" t="str">
        <f>IF(F186=$S$15,$T$14,IF(ROUNDDOWN(F186,0)=$S$14,$U$14,$T$14))</f>
        <v>　レベル　5</v>
      </c>
      <c r="G191" s="1297" t="s">
        <v>2365</v>
      </c>
      <c r="H191" s="1440"/>
      <c r="I191" s="1440"/>
      <c r="J191" s="1440"/>
      <c r="K191" s="1440"/>
      <c r="L191" s="1764"/>
      <c r="M191" s="1440"/>
      <c r="N191" s="3249"/>
      <c r="O191" s="3250"/>
    </row>
    <row r="192" spans="2:15" ht="15.75">
      <c r="B192" s="1079">
        <v>0</v>
      </c>
      <c r="C192" s="1079">
        <v>0</v>
      </c>
      <c r="D192" s="1025"/>
      <c r="E192" s="1025"/>
      <c r="F192" s="1780"/>
      <c r="G192" s="1780"/>
      <c r="H192" s="1780"/>
      <c r="I192" s="1780"/>
      <c r="J192" s="1780"/>
      <c r="K192" s="1780"/>
      <c r="L192" s="1780"/>
      <c r="M192" s="1780"/>
      <c r="N192" s="1780"/>
      <c r="O192" s="2228"/>
    </row>
    <row r="193" spans="2:15" ht="13.5" customHeight="1">
      <c r="D193" s="1742">
        <v>3.2</v>
      </c>
      <c r="E193" s="1162" t="s">
        <v>1232</v>
      </c>
      <c r="F193" s="1781"/>
      <c r="G193" s="1781"/>
      <c r="H193" s="1781"/>
      <c r="I193" s="1781"/>
      <c r="J193" s="1781"/>
      <c r="K193" s="1781"/>
      <c r="L193" s="1781"/>
      <c r="M193" s="1781"/>
      <c r="N193" s="1781"/>
      <c r="O193" s="2228"/>
    </row>
    <row r="194" spans="2:15" ht="13.5" customHeight="1">
      <c r="D194" s="1742"/>
      <c r="E194" s="1162"/>
      <c r="F194" s="1601" t="s">
        <v>1233</v>
      </c>
      <c r="G194" s="1781"/>
      <c r="H194" s="1781"/>
      <c r="I194" s="1781"/>
      <c r="J194" s="1781"/>
      <c r="K194" s="1781"/>
      <c r="L194" s="1781"/>
      <c r="M194" s="1781"/>
      <c r="N194" s="1781"/>
      <c r="O194" s="2228"/>
    </row>
    <row r="195" spans="2:15" ht="15" thickBot="1">
      <c r="D195" s="1742"/>
      <c r="E195" s="1260"/>
      <c r="F195" s="1185"/>
      <c r="G195" s="1043"/>
      <c r="H195" s="1044" t="s">
        <v>1484</v>
      </c>
      <c r="I195" s="1045"/>
      <c r="J195" s="1046">
        <f>重み!M175</f>
        <v>0.7</v>
      </c>
      <c r="K195" s="1186"/>
      <c r="L195" s="1186"/>
      <c r="M195" s="1186"/>
      <c r="N195" s="1186"/>
      <c r="O195" s="1055"/>
    </row>
    <row r="196" spans="2:15" ht="24" customHeight="1" thickBot="1">
      <c r="D196" s="1742"/>
      <c r="E196" s="1025"/>
      <c r="F196" s="1049">
        <v>3</v>
      </c>
      <c r="G196" s="1053" t="s">
        <v>2420</v>
      </c>
      <c r="H196" s="1054"/>
      <c r="I196" s="1054"/>
      <c r="J196" s="1054"/>
      <c r="K196" s="1054"/>
      <c r="L196" s="1389"/>
      <c r="M196" s="1054"/>
      <c r="N196" s="1166" t="s">
        <v>1440</v>
      </c>
      <c r="O196" s="1055"/>
    </row>
    <row r="197" spans="2:15" ht="28.5" customHeight="1">
      <c r="B197" s="1657">
        <v>1</v>
      </c>
      <c r="C197" s="1">
        <v>1</v>
      </c>
      <c r="D197" s="1025"/>
      <c r="E197" s="1025"/>
      <c r="F197" s="1061" t="str">
        <f>IF(F196=$S$15,$T$10,IF(ROUNDDOWN(F196,0)=$S$10,$U$10,$T$10))</f>
        <v>　レベル　1</v>
      </c>
      <c r="G197" s="1058" t="s">
        <v>977</v>
      </c>
      <c r="H197" s="1372"/>
      <c r="I197" s="1372"/>
      <c r="J197" s="1372"/>
      <c r="K197" s="1372"/>
      <c r="L197" s="1561"/>
      <c r="M197" s="1372"/>
      <c r="N197" s="3251" t="s">
        <v>376</v>
      </c>
      <c r="O197" s="3223"/>
    </row>
    <row r="198" spans="2:15" ht="28.5" customHeight="1">
      <c r="B198" s="1">
        <v>2</v>
      </c>
      <c r="C198" s="1">
        <v>2</v>
      </c>
      <c r="D198" s="1025"/>
      <c r="E198" s="1025"/>
      <c r="F198" s="1061" t="str">
        <f>IF(F196=$S$15,$T$11,IF(ROUNDDOWN(F196,0)=$S$11,$U$11,$T$11))</f>
        <v>　レベル　2</v>
      </c>
      <c r="G198" s="2900" t="s">
        <v>978</v>
      </c>
      <c r="H198" s="3185"/>
      <c r="I198" s="3185"/>
      <c r="J198" s="3185"/>
      <c r="K198" s="3185"/>
      <c r="L198" s="3185"/>
      <c r="M198" s="3186"/>
      <c r="N198" s="3091"/>
      <c r="O198" s="3093"/>
    </row>
    <row r="199" spans="2:15" ht="28.5" customHeight="1">
      <c r="B199" s="1">
        <v>3</v>
      </c>
      <c r="C199" s="1">
        <v>3</v>
      </c>
      <c r="D199" s="1025"/>
      <c r="E199" s="1025"/>
      <c r="F199" s="1061" t="str">
        <f>IF(F196=$S$15,$T$12,IF(ROUNDDOWN(F196,0)=$S$12,$U$12,$T$12))</f>
        <v>■レベル　3</v>
      </c>
      <c r="G199" s="2900" t="s">
        <v>2681</v>
      </c>
      <c r="H199" s="3185"/>
      <c r="I199" s="3185"/>
      <c r="J199" s="3185"/>
      <c r="K199" s="3185"/>
      <c r="L199" s="3185"/>
      <c r="M199" s="3186"/>
      <c r="N199" s="3091"/>
      <c r="O199" s="3093"/>
    </row>
    <row r="200" spans="2:15" ht="28.5" customHeight="1">
      <c r="B200" s="1">
        <v>4</v>
      </c>
      <c r="C200" s="1">
        <v>4</v>
      </c>
      <c r="D200" s="1025"/>
      <c r="E200" s="1025"/>
      <c r="F200" s="1061" t="str">
        <f>IF(F196=$S$15,$T$13,IF(ROUNDDOWN(F196,0)=$S$13,$U$13,$T$13))</f>
        <v>　レベル　4</v>
      </c>
      <c r="G200" s="2900" t="s">
        <v>2682</v>
      </c>
      <c r="H200" s="3185"/>
      <c r="I200" s="3185"/>
      <c r="J200" s="3185"/>
      <c r="K200" s="3185"/>
      <c r="L200" s="3185"/>
      <c r="M200" s="3186"/>
      <c r="N200" s="3091"/>
      <c r="O200" s="3093"/>
    </row>
    <row r="201" spans="2:15" ht="28.5" customHeight="1">
      <c r="B201" s="1">
        <v>5</v>
      </c>
      <c r="C201" s="1">
        <v>5</v>
      </c>
      <c r="D201" s="1025"/>
      <c r="E201" s="1025"/>
      <c r="F201" s="1072" t="str">
        <f>IF(F196=$S$15,$T$14,IF(ROUNDDOWN(F196,0)=$S$14,$U$14,$T$14))</f>
        <v>　レベル　5</v>
      </c>
      <c r="G201" s="2898" t="s">
        <v>2683</v>
      </c>
      <c r="H201" s="3187"/>
      <c r="I201" s="3187"/>
      <c r="J201" s="3187"/>
      <c r="K201" s="3187"/>
      <c r="L201" s="3187"/>
      <c r="M201" s="3188"/>
      <c r="N201" s="3252"/>
      <c r="O201" s="3229"/>
    </row>
    <row r="202" spans="2:15" ht="15.75">
      <c r="B202" s="1079">
        <v>0</v>
      </c>
      <c r="C202" s="1079">
        <v>0</v>
      </c>
      <c r="D202" s="1025"/>
      <c r="E202" s="1025"/>
      <c r="F202" s="1025"/>
      <c r="G202" s="1025"/>
      <c r="H202" s="1025"/>
      <c r="I202" s="1025"/>
      <c r="J202" s="1025"/>
      <c r="K202" s="2238"/>
      <c r="L202" s="2238"/>
      <c r="M202" s="2238"/>
      <c r="N202" s="2238"/>
      <c r="O202" s="2228"/>
    </row>
    <row r="203" spans="2:15" ht="15.75">
      <c r="D203" s="1025"/>
      <c r="E203" s="1025"/>
      <c r="F203" s="1601" t="s">
        <v>2684</v>
      </c>
      <c r="G203" s="1025"/>
      <c r="H203" s="1025"/>
      <c r="I203" s="1025"/>
      <c r="J203" s="1025"/>
      <c r="K203" s="2238"/>
      <c r="L203" s="2238"/>
      <c r="M203" s="2238"/>
      <c r="N203" s="2238"/>
      <c r="O203" s="2228"/>
    </row>
    <row r="204" spans="2:15" ht="15" thickBot="1">
      <c r="D204" s="1742"/>
      <c r="E204" s="1260"/>
      <c r="F204" s="1185"/>
      <c r="G204" s="1043"/>
      <c r="H204" s="1044" t="s">
        <v>1484</v>
      </c>
      <c r="I204" s="1045"/>
      <c r="J204" s="1046">
        <f>重み!M176</f>
        <v>0</v>
      </c>
      <c r="K204" s="1186"/>
      <c r="L204" s="1186"/>
      <c r="M204" s="1186"/>
      <c r="N204" s="1186"/>
      <c r="O204" s="1055"/>
    </row>
    <row r="205" spans="2:15" ht="16.5" thickBot="1">
      <c r="D205" s="1025"/>
      <c r="E205" s="1025"/>
      <c r="F205" s="1049">
        <f>IF(H218&gt;=4,5,IF(H218=3,4,IF(H218=2,3,IF(H218=1,2,1))))</f>
        <v>3</v>
      </c>
      <c r="G205" s="1053" t="s">
        <v>2685</v>
      </c>
      <c r="H205" s="1054"/>
      <c r="I205" s="1054"/>
      <c r="J205" s="1054"/>
      <c r="K205" s="1054"/>
      <c r="L205" s="1389"/>
      <c r="M205" s="1054"/>
      <c r="N205" s="1054"/>
      <c r="O205" s="1055"/>
    </row>
    <row r="206" spans="2:15" ht="15.75">
      <c r="B206" s="1" t="s">
        <v>574</v>
      </c>
      <c r="C206" s="1">
        <v>1</v>
      </c>
      <c r="D206" s="1025"/>
      <c r="E206" s="1025"/>
      <c r="F206" s="1061" t="str">
        <f>IF(F205=$S$15,$T$10,IF(ROUNDDOWN(F205,0)=$S$10,$U$10,$T$10))</f>
        <v>　レベル　1</v>
      </c>
      <c r="G206" s="1291" t="s">
        <v>2686</v>
      </c>
      <c r="H206" s="1372"/>
      <c r="I206" s="1372"/>
      <c r="J206" s="1372"/>
      <c r="K206" s="1372"/>
      <c r="L206" s="1561"/>
      <c r="M206" s="1372"/>
      <c r="N206" s="1372"/>
      <c r="O206" s="1373"/>
    </row>
    <row r="207" spans="2:15" ht="15.75">
      <c r="B207" s="1">
        <v>2</v>
      </c>
      <c r="C207" s="1">
        <v>2</v>
      </c>
      <c r="D207" s="1025"/>
      <c r="E207" s="1025"/>
      <c r="F207" s="1061" t="str">
        <f>IF(F205=$S$15,$T$11,IF(ROUNDDOWN(F205,0)=$S$11,$U$11,$T$11))</f>
        <v>　レベル　2</v>
      </c>
      <c r="G207" s="1294" t="s">
        <v>1234</v>
      </c>
      <c r="H207" s="1430"/>
      <c r="I207" s="1430"/>
      <c r="J207" s="1430"/>
      <c r="K207" s="1430"/>
      <c r="L207" s="1562"/>
      <c r="M207" s="1430"/>
      <c r="N207" s="1430"/>
      <c r="O207" s="1431"/>
    </row>
    <row r="208" spans="2:15" ht="15.75">
      <c r="B208" s="1">
        <v>3</v>
      </c>
      <c r="C208" s="1">
        <v>3</v>
      </c>
      <c r="D208" s="1025"/>
      <c r="E208" s="1025"/>
      <c r="F208" s="1061" t="str">
        <f>IF(F205=$S$15,$T$12,IF(ROUNDDOWN(F205,0)=$S$12,$U$12,$T$12))</f>
        <v>■レベル　3</v>
      </c>
      <c r="G208" s="1294" t="s">
        <v>1235</v>
      </c>
      <c r="H208" s="1430"/>
      <c r="I208" s="1430"/>
      <c r="J208" s="1430"/>
      <c r="K208" s="1430"/>
      <c r="L208" s="1562"/>
      <c r="M208" s="1430"/>
      <c r="N208" s="1430"/>
      <c r="O208" s="1431"/>
    </row>
    <row r="209" spans="2:15" ht="15.75">
      <c r="B209" s="1">
        <v>4</v>
      </c>
      <c r="C209" s="1">
        <v>4</v>
      </c>
      <c r="D209" s="1025"/>
      <c r="E209" s="1025"/>
      <c r="F209" s="1061" t="str">
        <f>IF(F205=$S$15,$T$13,IF(ROUNDDOWN(F205,0)=$S$13,$U$13,$T$13))</f>
        <v>　レベル　4</v>
      </c>
      <c r="G209" s="1294" t="s">
        <v>2687</v>
      </c>
      <c r="H209" s="1430"/>
      <c r="I209" s="1430"/>
      <c r="J209" s="1430"/>
      <c r="K209" s="1430"/>
      <c r="L209" s="1562"/>
      <c r="M209" s="1430"/>
      <c r="N209" s="1430"/>
      <c r="O209" s="1431"/>
    </row>
    <row r="210" spans="2:15" ht="15.75">
      <c r="B210" s="1">
        <v>5</v>
      </c>
      <c r="C210" s="1">
        <v>5</v>
      </c>
      <c r="D210" s="1025"/>
      <c r="E210" s="1025"/>
      <c r="F210" s="1072" t="str">
        <f>IF(F205=$S$15,$T$14,IF(ROUNDDOWN(F205,0)=$S$14,$U$14,$T$14))</f>
        <v>　レベル　5</v>
      </c>
      <c r="G210" s="1297" t="s">
        <v>2688</v>
      </c>
      <c r="H210" s="1440"/>
      <c r="I210" s="1440"/>
      <c r="J210" s="1440"/>
      <c r="K210" s="1440"/>
      <c r="L210" s="1764"/>
      <c r="M210" s="1440"/>
      <c r="N210" s="1440"/>
      <c r="O210" s="1441"/>
    </row>
    <row r="211" spans="2:15" ht="15.75">
      <c r="B211" s="1079">
        <v>0</v>
      </c>
      <c r="C211" s="1079">
        <v>0</v>
      </c>
      <c r="D211" s="1025"/>
      <c r="E211" s="1025"/>
      <c r="F211" s="1025"/>
      <c r="G211" s="1423" t="s">
        <v>2933</v>
      </c>
      <c r="H211" s="1025"/>
      <c r="I211" s="1025"/>
      <c r="J211" s="1025"/>
      <c r="K211" s="2238"/>
      <c r="L211" s="2238"/>
      <c r="M211" s="2238"/>
      <c r="N211" s="2238"/>
      <c r="O211" s="2228"/>
    </row>
    <row r="212" spans="2:15" ht="16.5" thickBot="1">
      <c r="B212" s="1782"/>
      <c r="C212" s="1782"/>
      <c r="D212" s="1025"/>
      <c r="E212" s="1025"/>
      <c r="F212" s="1783"/>
      <c r="G212" s="1425" t="s">
        <v>248</v>
      </c>
      <c r="H212" s="3078" t="s">
        <v>2751</v>
      </c>
      <c r="I212" s="3079"/>
      <c r="J212" s="3080"/>
      <c r="K212" s="3078" t="s">
        <v>1236</v>
      </c>
      <c r="L212" s="3079"/>
      <c r="M212" s="3079"/>
      <c r="N212" s="3079"/>
      <c r="O212" s="1208" t="s">
        <v>2752</v>
      </c>
    </row>
    <row r="213" spans="2:15" ht="30" customHeight="1">
      <c r="B213" s="1782"/>
      <c r="C213" s="1782"/>
      <c r="D213" s="1025"/>
      <c r="E213" s="1025"/>
      <c r="F213" s="1783"/>
      <c r="G213" s="3253">
        <v>2</v>
      </c>
      <c r="H213" s="3276" t="s">
        <v>1237</v>
      </c>
      <c r="I213" s="3295"/>
      <c r="J213" s="3296"/>
      <c r="K213" s="2913" t="s">
        <v>1238</v>
      </c>
      <c r="L213" s="3236"/>
      <c r="M213" s="3236"/>
      <c r="N213" s="3236"/>
      <c r="O213" s="2234">
        <v>1</v>
      </c>
    </row>
    <row r="214" spans="2:15" ht="15.75" customHeight="1">
      <c r="B214" s="1782"/>
      <c r="C214" s="1782"/>
      <c r="D214" s="1025"/>
      <c r="E214" s="1025"/>
      <c r="F214" s="1783"/>
      <c r="G214" s="3254"/>
      <c r="H214" s="3297"/>
      <c r="I214" s="3297"/>
      <c r="J214" s="3298"/>
      <c r="K214" s="2918" t="s">
        <v>1239</v>
      </c>
      <c r="L214" s="3235"/>
      <c r="M214" s="3235"/>
      <c r="N214" s="3235"/>
      <c r="O214" s="2235">
        <v>2</v>
      </c>
    </row>
    <row r="215" spans="2:15" ht="15.75" customHeight="1">
      <c r="B215" s="1782"/>
      <c r="C215" s="1782"/>
      <c r="D215" s="1025"/>
      <c r="E215" s="1025"/>
      <c r="F215" s="1783"/>
      <c r="G215" s="3086">
        <v>0</v>
      </c>
      <c r="H215" s="3257" t="s">
        <v>1240</v>
      </c>
      <c r="I215" s="3258"/>
      <c r="J215" s="3259"/>
      <c r="K215" s="2918" t="s">
        <v>1241</v>
      </c>
      <c r="L215" s="3235"/>
      <c r="M215" s="3235"/>
      <c r="N215" s="3235"/>
      <c r="O215" s="2235">
        <v>1</v>
      </c>
    </row>
    <row r="216" spans="2:15" ht="15.75">
      <c r="B216" s="1782"/>
      <c r="C216" s="1782"/>
      <c r="D216" s="1025"/>
      <c r="E216" s="1025"/>
      <c r="F216" s="1783"/>
      <c r="G216" s="3255"/>
      <c r="H216" s="3260"/>
      <c r="I216" s="3261"/>
      <c r="J216" s="3262"/>
      <c r="K216" s="2918" t="s">
        <v>1242</v>
      </c>
      <c r="L216" s="3235"/>
      <c r="M216" s="3235"/>
      <c r="N216" s="3235"/>
      <c r="O216" s="2235">
        <v>2</v>
      </c>
    </row>
    <row r="217" spans="2:15" ht="16.5" thickBot="1">
      <c r="B217" s="1782"/>
      <c r="C217" s="1782"/>
      <c r="D217" s="1025"/>
      <c r="E217" s="1025"/>
      <c r="F217" s="1783"/>
      <c r="G217" s="3256"/>
      <c r="H217" s="3263"/>
      <c r="I217" s="3264"/>
      <c r="J217" s="3265"/>
      <c r="K217" s="3266" t="s">
        <v>2689</v>
      </c>
      <c r="L217" s="3267"/>
      <c r="M217" s="3267"/>
      <c r="N217" s="3267"/>
      <c r="O217" s="2236">
        <v>4</v>
      </c>
    </row>
    <row r="218" spans="2:15" ht="15.75">
      <c r="B218" s="1782"/>
      <c r="C218" s="1782"/>
      <c r="D218" s="1025"/>
      <c r="E218" s="1025"/>
      <c r="F218" s="1783"/>
      <c r="G218" s="1312" t="s">
        <v>1899</v>
      </c>
      <c r="H218" s="3268">
        <f>SUM(G213:G217)</f>
        <v>2</v>
      </c>
      <c r="I218" s="3268"/>
      <c r="J218" s="3268"/>
      <c r="K218" s="1314"/>
      <c r="L218" s="1315"/>
      <c r="M218" s="1314"/>
      <c r="N218" s="1315"/>
      <c r="O218" s="1426"/>
    </row>
    <row r="219" spans="2:15" ht="15.75">
      <c r="B219" s="1782"/>
      <c r="C219" s="1782"/>
      <c r="D219" s="1025"/>
      <c r="E219" s="1025"/>
      <c r="F219" s="1783"/>
      <c r="G219" s="1783"/>
      <c r="H219" s="1783"/>
      <c r="I219" s="1783"/>
      <c r="J219" s="1783"/>
      <c r="K219" s="1783"/>
      <c r="L219" s="1783"/>
      <c r="M219" s="1783"/>
      <c r="N219" s="1783"/>
      <c r="O219" s="1783"/>
    </row>
    <row r="220" spans="2:15" ht="15.75">
      <c r="B220" s="1782"/>
      <c r="C220" s="1782"/>
      <c r="D220" s="1025"/>
      <c r="E220" s="1025"/>
      <c r="F220" s="1783"/>
      <c r="G220" s="1783"/>
      <c r="H220" s="1783"/>
      <c r="I220" s="1783"/>
      <c r="J220" s="1783"/>
      <c r="K220" s="1783"/>
      <c r="L220" s="1783"/>
      <c r="M220" s="1783"/>
      <c r="N220" s="1783"/>
      <c r="O220" s="1783"/>
    </row>
    <row r="221" spans="2:15" ht="15.75">
      <c r="D221" s="1025"/>
      <c r="E221" s="1025"/>
      <c r="F221" s="1601" t="s">
        <v>2690</v>
      </c>
      <c r="G221" s="1025"/>
      <c r="H221" s="1025"/>
      <c r="I221" s="1025"/>
      <c r="J221" s="1025"/>
      <c r="K221" s="2238"/>
      <c r="L221" s="2238"/>
      <c r="M221" s="2238"/>
      <c r="N221" s="2238"/>
      <c r="O221" s="2228"/>
    </row>
    <row r="222" spans="2:15" ht="15" thickBot="1">
      <c r="D222" s="1742"/>
      <c r="E222" s="1260"/>
      <c r="F222" s="1185"/>
      <c r="G222" s="1043"/>
      <c r="H222" s="1044" t="s">
        <v>1484</v>
      </c>
      <c r="I222" s="1045"/>
      <c r="J222" s="1046">
        <f>重み!M177</f>
        <v>0.3</v>
      </c>
      <c r="K222" s="1186"/>
      <c r="L222" s="1186"/>
      <c r="M222" s="1186"/>
      <c r="N222" s="1186"/>
      <c r="O222" s="1055"/>
    </row>
    <row r="223" spans="2:15" ht="24" customHeight="1" thickBot="1">
      <c r="D223" s="1025"/>
      <c r="E223" s="1025"/>
      <c r="F223" s="1049">
        <v>3</v>
      </c>
      <c r="G223" s="1053" t="s">
        <v>2420</v>
      </c>
      <c r="H223" s="1054"/>
      <c r="I223" s="1054"/>
      <c r="J223" s="1054"/>
      <c r="K223" s="1054"/>
      <c r="L223" s="1389"/>
      <c r="M223" s="1054"/>
      <c r="N223" s="1054"/>
      <c r="O223" s="1055"/>
    </row>
    <row r="224" spans="2:15" ht="20.25" customHeight="1">
      <c r="B224" s="1" t="s">
        <v>1637</v>
      </c>
      <c r="C224" s="1">
        <v>1</v>
      </c>
      <c r="D224" s="1025"/>
      <c r="E224" s="1025"/>
      <c r="F224" s="1061" t="str">
        <f>IF(F223=$S$15,$T$10,IF(ROUNDDOWN(F223,0)=$S$10,$U$10,$T$10))</f>
        <v>　レベル　1</v>
      </c>
      <c r="G224" s="1291" t="s">
        <v>2365</v>
      </c>
      <c r="H224" s="1372"/>
      <c r="I224" s="1372"/>
      <c r="J224" s="1372"/>
      <c r="K224" s="1372"/>
      <c r="L224" s="1561"/>
      <c r="M224" s="1372"/>
      <c r="N224" s="1372"/>
      <c r="O224" s="1373"/>
    </row>
    <row r="225" spans="2:15" ht="20.25" customHeight="1">
      <c r="B225" s="1" t="s">
        <v>1637</v>
      </c>
      <c r="C225" s="1">
        <v>2</v>
      </c>
      <c r="D225" s="1025"/>
      <c r="E225" s="1025"/>
      <c r="F225" s="1061" t="str">
        <f>IF(F223=$S$15,$T$11,IF(ROUNDDOWN(F223,0)=$S$11,$U$11,$T$11))</f>
        <v>　レベル　2</v>
      </c>
      <c r="G225" s="1294" t="s">
        <v>2365</v>
      </c>
      <c r="H225" s="1430"/>
      <c r="I225" s="1430"/>
      <c r="J225" s="1430"/>
      <c r="K225" s="1430"/>
      <c r="L225" s="1562"/>
      <c r="M225" s="1430"/>
      <c r="N225" s="1430"/>
      <c r="O225" s="1431"/>
    </row>
    <row r="226" spans="2:15" ht="20.25" customHeight="1">
      <c r="B226" s="1">
        <v>3</v>
      </c>
      <c r="C226" s="1">
        <v>3</v>
      </c>
      <c r="D226" s="1025"/>
      <c r="E226" s="1025"/>
      <c r="F226" s="1061" t="str">
        <f>IF(F223=$S$15,$T$12,IF(ROUNDDOWN(F223,0)=$S$12,$U$12,$T$12))</f>
        <v>■レベル　3</v>
      </c>
      <c r="G226" s="1294" t="s">
        <v>3147</v>
      </c>
      <c r="H226" s="1430"/>
      <c r="I226" s="1430"/>
      <c r="J226" s="1430"/>
      <c r="K226" s="1430"/>
      <c r="L226" s="1562"/>
      <c r="M226" s="1430"/>
      <c r="N226" s="1430"/>
      <c r="O226" s="1431"/>
    </row>
    <row r="227" spans="2:15" ht="20.25" customHeight="1">
      <c r="B227" s="1">
        <v>4</v>
      </c>
      <c r="C227" s="1">
        <v>4</v>
      </c>
      <c r="D227" s="1025"/>
      <c r="E227" s="1025"/>
      <c r="F227" s="1061" t="str">
        <f>IF(F223=$S$15,$T$13,IF(ROUNDDOWN(F223,0)=$S$13,$U$13,$T$13))</f>
        <v>　レベル　4</v>
      </c>
      <c r="G227" s="1294" t="s">
        <v>3148</v>
      </c>
      <c r="H227" s="1430"/>
      <c r="I227" s="1430"/>
      <c r="J227" s="1430"/>
      <c r="K227" s="1430"/>
      <c r="L227" s="1562"/>
      <c r="M227" s="1430"/>
      <c r="N227" s="1430"/>
      <c r="O227" s="1431"/>
    </row>
    <row r="228" spans="2:15" ht="20.25" customHeight="1">
      <c r="B228" s="1" t="s">
        <v>1637</v>
      </c>
      <c r="C228" s="1">
        <v>5</v>
      </c>
      <c r="D228" s="1025"/>
      <c r="E228" s="1025"/>
      <c r="F228" s="1072" t="str">
        <f>IF(F223=$S$15,$T$14,IF(ROUNDDOWN(F223,0)=$S$14,$U$14,$T$14))</f>
        <v>　レベル　5</v>
      </c>
      <c r="G228" s="1297" t="s">
        <v>2365</v>
      </c>
      <c r="H228" s="1440"/>
      <c r="I228" s="1440"/>
      <c r="J228" s="1440"/>
      <c r="K228" s="1440"/>
      <c r="L228" s="1764"/>
      <c r="M228" s="1440"/>
      <c r="N228" s="1440"/>
      <c r="O228" s="1441"/>
    </row>
    <row r="229" spans="2:15" ht="24" customHeight="1">
      <c r="B229" s="1079">
        <v>0</v>
      </c>
      <c r="C229" s="1079">
        <v>0</v>
      </c>
      <c r="D229" s="1025"/>
      <c r="E229" s="1025"/>
      <c r="F229" s="3299" t="s">
        <v>3149</v>
      </c>
      <c r="G229" s="3299"/>
      <c r="H229" s="3299"/>
      <c r="I229" s="3299"/>
      <c r="J229" s="3299"/>
      <c r="K229" s="3299"/>
      <c r="L229" s="3299"/>
      <c r="M229" s="3299"/>
      <c r="N229" s="3299"/>
      <c r="O229" s="3299"/>
    </row>
    <row r="230" spans="2:15" ht="15.75">
      <c r="D230" s="1025"/>
      <c r="E230" s="1025"/>
      <c r="F230" s="1783"/>
      <c r="G230" s="1783"/>
      <c r="H230" s="1783"/>
      <c r="I230" s="1783"/>
      <c r="J230" s="1783"/>
      <c r="K230" s="1783"/>
      <c r="L230" s="1783"/>
      <c r="M230" s="1783"/>
      <c r="N230" s="1783"/>
      <c r="O230" s="1783"/>
    </row>
    <row r="231" spans="2:15" ht="14.25">
      <c r="D231" s="1742">
        <v>3.3</v>
      </c>
      <c r="E231" s="1162" t="s">
        <v>2691</v>
      </c>
      <c r="F231" s="1162"/>
      <c r="G231" s="1783"/>
      <c r="H231" s="1783"/>
      <c r="I231" s="1783"/>
      <c r="J231" s="1783"/>
      <c r="K231" s="1783"/>
      <c r="L231" s="1783"/>
      <c r="M231" s="1783"/>
      <c r="N231" s="1783"/>
      <c r="O231" s="1783"/>
    </row>
    <row r="232" spans="2:15" ht="14.25">
      <c r="D232" s="1742"/>
      <c r="E232" s="1162"/>
      <c r="F232" s="1601" t="s">
        <v>3150</v>
      </c>
      <c r="G232" s="1783"/>
      <c r="H232" s="1783"/>
      <c r="I232" s="1783"/>
      <c r="J232" s="1783"/>
      <c r="K232" s="1783"/>
      <c r="L232" s="1783"/>
      <c r="M232" s="1783"/>
      <c r="N232" s="1783"/>
      <c r="O232" s="1783"/>
    </row>
    <row r="233" spans="2:15" ht="14.25" thickBot="1">
      <c r="D233" s="1260"/>
      <c r="E233" s="1260"/>
      <c r="F233" s="1185"/>
      <c r="G233" s="1043"/>
      <c r="H233" s="1044" t="s">
        <v>1484</v>
      </c>
      <c r="I233" s="1045"/>
      <c r="J233" s="1046">
        <f>重み!M179</f>
        <v>0.7</v>
      </c>
      <c r="K233" s="1186"/>
      <c r="L233" s="1186"/>
      <c r="M233" s="1186"/>
      <c r="N233" s="1186"/>
      <c r="O233" s="1055"/>
    </row>
    <row r="234" spans="2:15" ht="29.25" customHeight="1" thickBot="1">
      <c r="D234" s="1025"/>
      <c r="E234" s="1021"/>
      <c r="F234" s="1421">
        <f>IF(H248&lt;=0,1,IF(H248&lt;=1,2,IF(H248&lt;=2,3,IF(H248&lt;=3,4,IF(H248&gt;=4,5)))))</f>
        <v>3</v>
      </c>
      <c r="G234" s="1053" t="s">
        <v>556</v>
      </c>
      <c r="H234" s="1054"/>
      <c r="I234" s="1054"/>
      <c r="J234" s="1054"/>
      <c r="K234" s="1054"/>
      <c r="L234" s="1389"/>
      <c r="M234" s="1054"/>
      <c r="N234" s="1054"/>
      <c r="O234" s="1055"/>
    </row>
    <row r="235" spans="2:15" ht="19.5" customHeight="1">
      <c r="D235" s="1025"/>
      <c r="E235" s="1021"/>
      <c r="F235" s="1061" t="str">
        <f>IF(F234=$S$15,$T$10,IF(ROUNDDOWN(F234,0)=$S$10,$U$10,$T$10))</f>
        <v>　レベル　1</v>
      </c>
      <c r="G235" s="1291" t="s">
        <v>1329</v>
      </c>
      <c r="H235" s="1372"/>
      <c r="I235" s="1372"/>
      <c r="J235" s="1372"/>
      <c r="K235" s="1372"/>
      <c r="L235" s="1561"/>
      <c r="M235" s="1372"/>
      <c r="N235" s="1372"/>
      <c r="O235" s="1373"/>
    </row>
    <row r="236" spans="2:15" ht="19.5" customHeight="1">
      <c r="D236" s="1025"/>
      <c r="E236" s="1021"/>
      <c r="F236" s="1061" t="str">
        <f>IF(F234=$S$15,$T$11,IF(ROUNDDOWN(F234,0)=$S$11,$U$11,$T$11))</f>
        <v>　レベル　2</v>
      </c>
      <c r="G236" s="1294" t="s">
        <v>1773</v>
      </c>
      <c r="H236" s="1430"/>
      <c r="I236" s="1430"/>
      <c r="J236" s="1430"/>
      <c r="K236" s="1430"/>
      <c r="L236" s="1562"/>
      <c r="M236" s="1430"/>
      <c r="N236" s="1430"/>
      <c r="O236" s="1431"/>
    </row>
    <row r="237" spans="2:15" ht="19.5" customHeight="1">
      <c r="D237" s="1025"/>
      <c r="E237" s="1021"/>
      <c r="F237" s="1061" t="str">
        <f>IF(F234=$S$15,$T$12,IF(ROUNDDOWN(F234,0)=$S$12,$U$12,$T$12))</f>
        <v>■レベル　3</v>
      </c>
      <c r="G237" s="1294" t="s">
        <v>1774</v>
      </c>
      <c r="H237" s="1430"/>
      <c r="I237" s="1430"/>
      <c r="J237" s="1430"/>
      <c r="K237" s="1430"/>
      <c r="L237" s="1562"/>
      <c r="M237" s="1430"/>
      <c r="N237" s="1430"/>
      <c r="O237" s="1431"/>
    </row>
    <row r="238" spans="2:15" ht="19.5" customHeight="1">
      <c r="D238" s="1025"/>
      <c r="E238" s="1021"/>
      <c r="F238" s="1061" t="str">
        <f>IF(F234=$S$15,$T$13,IF(ROUNDDOWN(F234,0)=$S$13,$U$13,$T$13))</f>
        <v>　レベル　4</v>
      </c>
      <c r="G238" s="1294" t="s">
        <v>1775</v>
      </c>
      <c r="H238" s="1430"/>
      <c r="I238" s="1430"/>
      <c r="J238" s="1430"/>
      <c r="K238" s="1430"/>
      <c r="L238" s="1562"/>
      <c r="M238" s="1430"/>
      <c r="N238" s="1430"/>
      <c r="O238" s="1431"/>
    </row>
    <row r="239" spans="2:15" ht="19.5" customHeight="1">
      <c r="D239" s="1025"/>
      <c r="E239" s="1021"/>
      <c r="F239" s="1072" t="str">
        <f>IF(F234=$S$15,$T$14,IF(ROUNDDOWN(F234,0)=$S$14,$U$14,$T$14))</f>
        <v>　レベル　5</v>
      </c>
      <c r="G239" s="1297" t="s">
        <v>153</v>
      </c>
      <c r="H239" s="1440"/>
      <c r="I239" s="1440"/>
      <c r="J239" s="1440"/>
      <c r="K239" s="1440"/>
      <c r="L239" s="1764"/>
      <c r="M239" s="1440"/>
      <c r="N239" s="1440"/>
      <c r="O239" s="1441"/>
    </row>
    <row r="240" spans="2:15" ht="15.75">
      <c r="D240" s="1025"/>
      <c r="E240" s="1021"/>
      <c r="F240" s="1025"/>
      <c r="G240" s="1423" t="s">
        <v>2692</v>
      </c>
      <c r="H240" s="1026"/>
      <c r="I240" s="1424"/>
      <c r="J240" s="1413"/>
      <c r="K240" s="1413"/>
      <c r="L240" s="1026"/>
      <c r="M240" s="1026"/>
      <c r="N240" s="1026"/>
      <c r="O240" s="2238"/>
    </row>
    <row r="241" spans="2:15" ht="16.5" thickBot="1">
      <c r="D241" s="1025"/>
      <c r="E241" s="1424"/>
      <c r="F241" s="1021"/>
      <c r="G241" s="1317" t="s">
        <v>248</v>
      </c>
      <c r="H241" s="3300" t="s">
        <v>1236</v>
      </c>
      <c r="I241" s="3300"/>
      <c r="J241" s="3300"/>
      <c r="K241" s="3300"/>
      <c r="L241" s="3300"/>
      <c r="M241" s="3300"/>
      <c r="N241" s="3300"/>
      <c r="O241" s="1208" t="s">
        <v>1878</v>
      </c>
    </row>
    <row r="242" spans="2:15" ht="15.75">
      <c r="D242" s="1025"/>
      <c r="E242" s="1026"/>
      <c r="F242" s="1021"/>
      <c r="G242" s="3253">
        <v>2</v>
      </c>
      <c r="H242" s="3301" t="s">
        <v>2693</v>
      </c>
      <c r="I242" s="3302"/>
      <c r="J242" s="3302"/>
      <c r="K242" s="3302"/>
      <c r="L242" s="3302"/>
      <c r="M242" s="3302"/>
      <c r="N242" s="3302"/>
      <c r="O242" s="3303" t="s">
        <v>2754</v>
      </c>
    </row>
    <row r="243" spans="2:15" ht="15.75">
      <c r="D243" s="1025"/>
      <c r="E243" s="1026"/>
      <c r="F243" s="1021"/>
      <c r="G243" s="3099"/>
      <c r="H243" s="3288" t="s">
        <v>3057</v>
      </c>
      <c r="I243" s="3289"/>
      <c r="J243" s="3289"/>
      <c r="K243" s="3289"/>
      <c r="L243" s="3289"/>
      <c r="M243" s="3289"/>
      <c r="N243" s="3289"/>
      <c r="O243" s="3287"/>
    </row>
    <row r="244" spans="2:15" ht="15.75">
      <c r="D244" s="1025"/>
      <c r="E244" s="1026"/>
      <c r="F244" s="1021"/>
      <c r="G244" s="3087"/>
      <c r="H244" s="3290" t="s">
        <v>3058</v>
      </c>
      <c r="I244" s="3270"/>
      <c r="J244" s="3270"/>
      <c r="K244" s="3270"/>
      <c r="L244" s="3270"/>
      <c r="M244" s="3270"/>
      <c r="N244" s="3270"/>
      <c r="O244" s="3287"/>
    </row>
    <row r="245" spans="2:15" ht="15.75">
      <c r="D245" s="1025"/>
      <c r="E245" s="1026"/>
      <c r="F245" s="1021"/>
      <c r="G245" s="3086">
        <v>0</v>
      </c>
      <c r="H245" s="3285" t="s">
        <v>3059</v>
      </c>
      <c r="I245" s="3286"/>
      <c r="J245" s="3286"/>
      <c r="K245" s="3286"/>
      <c r="L245" s="3286"/>
      <c r="M245" s="3286"/>
      <c r="N245" s="3286"/>
      <c r="O245" s="3287" t="s">
        <v>154</v>
      </c>
    </row>
    <row r="246" spans="2:15" ht="15.75">
      <c r="D246" s="1025"/>
      <c r="E246" s="1026"/>
      <c r="F246" s="1021"/>
      <c r="G246" s="3099"/>
      <c r="H246" s="3288" t="s">
        <v>155</v>
      </c>
      <c r="I246" s="3289"/>
      <c r="J246" s="3289"/>
      <c r="K246" s="3289"/>
      <c r="L246" s="3289"/>
      <c r="M246" s="3289"/>
      <c r="N246" s="3289"/>
      <c r="O246" s="3287"/>
    </row>
    <row r="247" spans="2:15" ht="16.5" thickBot="1">
      <c r="D247" s="1025"/>
      <c r="E247" s="1026"/>
      <c r="F247" s="1021"/>
      <c r="G247" s="3088"/>
      <c r="H247" s="3290" t="s">
        <v>156</v>
      </c>
      <c r="I247" s="3270"/>
      <c r="J247" s="3270"/>
      <c r="K247" s="3270"/>
      <c r="L247" s="3270"/>
      <c r="M247" s="3270"/>
      <c r="N247" s="3270"/>
      <c r="O247" s="3287"/>
    </row>
    <row r="248" spans="2:15" ht="15.75">
      <c r="D248" s="1025"/>
      <c r="E248" s="1026"/>
      <c r="F248" s="1021"/>
      <c r="G248" s="1312" t="s">
        <v>1899</v>
      </c>
      <c r="H248" s="2987">
        <f>SUM(G242:G247)</f>
        <v>2</v>
      </c>
      <c r="I248" s="2987"/>
      <c r="J248" s="2987"/>
      <c r="K248" s="1314"/>
      <c r="L248" s="1315"/>
      <c r="M248" s="1314"/>
      <c r="N248" s="1315"/>
      <c r="O248" s="1324"/>
    </row>
    <row r="249" spans="2:15" ht="15.75">
      <c r="D249" s="1025"/>
      <c r="E249" s="1026"/>
      <c r="F249" s="1026"/>
      <c r="G249" s="1026"/>
      <c r="H249" s="1026"/>
      <c r="I249" s="1026"/>
      <c r="J249" s="1026"/>
      <c r="K249" s="1026"/>
      <c r="L249" s="1026"/>
      <c r="M249" s="1026"/>
      <c r="N249" s="1026"/>
      <c r="O249" s="1026"/>
    </row>
    <row r="250" spans="2:15" ht="15.75">
      <c r="D250" s="1025"/>
      <c r="E250" s="1026"/>
      <c r="F250" s="1601" t="s">
        <v>157</v>
      </c>
      <c r="G250" s="1026"/>
      <c r="H250" s="1026"/>
      <c r="I250" s="1026"/>
      <c r="J250" s="1026"/>
      <c r="K250" s="1026"/>
      <c r="L250" s="1026"/>
      <c r="M250" s="1026"/>
      <c r="N250" s="1026"/>
      <c r="O250" s="1026"/>
    </row>
    <row r="251" spans="2:15" ht="15" thickBot="1">
      <c r="D251" s="1741"/>
      <c r="E251" s="1021"/>
      <c r="F251" s="1185"/>
      <c r="G251" s="1043"/>
      <c r="H251" s="1044" t="s">
        <v>1484</v>
      </c>
      <c r="I251" s="1045"/>
      <c r="J251" s="1046">
        <f>重み!M180</f>
        <v>0.3</v>
      </c>
      <c r="K251" s="1186"/>
      <c r="L251" s="1186"/>
      <c r="M251" s="1186"/>
      <c r="N251" s="1186"/>
      <c r="O251" s="1055"/>
    </row>
    <row r="252" spans="2:15" ht="15" thickBot="1">
      <c r="D252" s="1741"/>
      <c r="E252" s="1021"/>
      <c r="F252" s="1049">
        <v>3</v>
      </c>
      <c r="G252" s="1053" t="s">
        <v>98</v>
      </c>
      <c r="H252" s="1054"/>
      <c r="I252" s="1054"/>
      <c r="J252" s="1054"/>
      <c r="K252" s="1054"/>
      <c r="L252" s="1389"/>
      <c r="M252" s="1054"/>
      <c r="N252" s="1054"/>
      <c r="O252" s="1055"/>
    </row>
    <row r="253" spans="2:15" ht="19.5" customHeight="1">
      <c r="B253" s="1" t="s">
        <v>2364</v>
      </c>
      <c r="C253" s="1">
        <v>1</v>
      </c>
      <c r="D253" s="1741"/>
      <c r="E253" s="1021"/>
      <c r="F253" s="1061" t="str">
        <f>IF(F252=$S$15,$T$10,IF(ROUNDDOWN(F252,0)=$S$10,$U$10,$T$10))</f>
        <v>　レベル　1</v>
      </c>
      <c r="G253" s="1291" t="s">
        <v>387</v>
      </c>
      <c r="H253" s="1292"/>
      <c r="I253" s="1292"/>
      <c r="J253" s="1292"/>
      <c r="K253" s="1292"/>
      <c r="L253" s="1292"/>
      <c r="M253" s="1292"/>
      <c r="N253" s="1059"/>
      <c r="O253" s="1060"/>
    </row>
    <row r="254" spans="2:15" ht="19.5" customHeight="1">
      <c r="B254" s="1" t="s">
        <v>2364</v>
      </c>
      <c r="C254" s="1">
        <v>2</v>
      </c>
      <c r="D254" s="1741"/>
      <c r="E254" s="1021"/>
      <c r="F254" s="1061" t="str">
        <f>IF(F252=$S$15,$T$11,IF(ROUNDDOWN(F252,0)=$S$11,$U$11,$T$11))</f>
        <v>　レベル　2</v>
      </c>
      <c r="G254" s="1725" t="s">
        <v>387</v>
      </c>
      <c r="H254" s="1784"/>
      <c r="I254" s="1784"/>
      <c r="J254" s="1784"/>
      <c r="K254" s="1784"/>
      <c r="L254" s="1784"/>
      <c r="M254" s="1784"/>
      <c r="N254" s="1066"/>
      <c r="O254" s="1067"/>
    </row>
    <row r="255" spans="2:15" ht="19.5" customHeight="1">
      <c r="B255" s="1">
        <v>3</v>
      </c>
      <c r="C255" s="1">
        <v>3</v>
      </c>
      <c r="D255" s="1741"/>
      <c r="E255" s="1021"/>
      <c r="F255" s="1061" t="str">
        <f>IF(F252=$S$15,$T$12,IF(ROUNDDOWN(F252,0)=$S$12,$U$12,$T$12))</f>
        <v>■レベル　3</v>
      </c>
      <c r="G255" s="1725" t="s">
        <v>3341</v>
      </c>
      <c r="H255" s="1784"/>
      <c r="I255" s="1784"/>
      <c r="J255" s="1784"/>
      <c r="K255" s="1784"/>
      <c r="L255" s="1784"/>
      <c r="M255" s="1784"/>
      <c r="N255" s="1066"/>
      <c r="O255" s="1067"/>
    </row>
    <row r="256" spans="2:15" ht="19.5" customHeight="1">
      <c r="B256" s="1">
        <v>4</v>
      </c>
      <c r="C256" s="1">
        <v>4</v>
      </c>
      <c r="D256" s="1741"/>
      <c r="E256" s="1021"/>
      <c r="F256" s="1061" t="str">
        <f>IF(F252=$S$15,$T$13,IF(ROUNDDOWN(F252,0)=$S$13,$U$13,$T$13))</f>
        <v>　レベル　4</v>
      </c>
      <c r="G256" s="1725" t="s">
        <v>99</v>
      </c>
      <c r="H256" s="1784"/>
      <c r="I256" s="1784"/>
      <c r="J256" s="1784"/>
      <c r="K256" s="1784"/>
      <c r="L256" s="1784"/>
      <c r="M256" s="1784"/>
      <c r="N256" s="1066"/>
      <c r="O256" s="1067"/>
    </row>
    <row r="257" spans="2:15" ht="19.5" customHeight="1">
      <c r="B257" s="1">
        <v>5</v>
      </c>
      <c r="C257" s="1">
        <v>5</v>
      </c>
      <c r="D257" s="1741"/>
      <c r="E257" s="1021"/>
      <c r="F257" s="1072" t="str">
        <f>IF(F252=$S$15,$T$14,IF(ROUNDDOWN(F252,0)=$S$14,$U$14,$T$14))</f>
        <v>　レベル　5</v>
      </c>
      <c r="G257" s="1726" t="s">
        <v>100</v>
      </c>
      <c r="H257" s="1785"/>
      <c r="I257" s="1785"/>
      <c r="J257" s="1785"/>
      <c r="K257" s="1785"/>
      <c r="L257" s="1785"/>
      <c r="M257" s="1785"/>
      <c r="N257" s="1077"/>
      <c r="O257" s="1078"/>
    </row>
    <row r="258" spans="2:15">
      <c r="B258" s="1079">
        <v>0</v>
      </c>
      <c r="C258" s="1079">
        <v>0</v>
      </c>
    </row>
    <row r="259" spans="2:15" hidden="1"/>
    <row r="260" spans="2:15" hidden="1"/>
    <row r="261" spans="2:15" hidden="1"/>
    <row r="262" spans="2:15" hidden="1"/>
    <row r="263" spans="2:15" hidden="1"/>
    <row r="264" spans="2:15" hidden="1"/>
    <row r="265" spans="2:15" hidden="1"/>
    <row r="266" spans="2:15" hidden="1"/>
    <row r="267" spans="2:15" hidden="1"/>
    <row r="268" spans="2:15" hidden="1"/>
    <row r="269" spans="2:15" hidden="1"/>
    <row r="270" spans="2:15" hidden="1"/>
    <row r="271" spans="2:15" hidden="1"/>
    <row r="272" spans="2:15" hidden="1"/>
    <row r="273" hidden="1"/>
    <row r="274" hidden="1"/>
    <row r="275" hidden="1"/>
    <row r="276" hidden="1"/>
    <row r="277" hidden="1"/>
    <row r="278" hidden="1"/>
    <row r="279" hidden="1"/>
    <row r="280" hidden="1"/>
    <row r="281" hidden="1"/>
  </sheetData>
  <sheetProtection password="9DA9" sheet="1" objects="1" scenarios="1"/>
  <mergeCells count="143">
    <mergeCell ref="G175:L175"/>
    <mergeCell ref="M175:O175"/>
    <mergeCell ref="G176:I176"/>
    <mergeCell ref="J176:L176"/>
    <mergeCell ref="M176:O176"/>
    <mergeCell ref="G132:I132"/>
    <mergeCell ref="J132:L132"/>
    <mergeCell ref="G140:I140"/>
    <mergeCell ref="J140:L140"/>
    <mergeCell ref="G147:I147"/>
    <mergeCell ref="J147:L147"/>
    <mergeCell ref="G148:I148"/>
    <mergeCell ref="J148:L148"/>
    <mergeCell ref="G168:I168"/>
    <mergeCell ref="J168:L168"/>
    <mergeCell ref="K52:N52"/>
    <mergeCell ref="K39:N39"/>
    <mergeCell ref="O48:O49"/>
    <mergeCell ref="K43:N43"/>
    <mergeCell ref="K44:N44"/>
    <mergeCell ref="K40:N40"/>
    <mergeCell ref="K42:N42"/>
    <mergeCell ref="K41:N41"/>
    <mergeCell ref="G40:G41"/>
    <mergeCell ref="G42:G43"/>
    <mergeCell ref="H40:H55"/>
    <mergeCell ref="G50:G51"/>
    <mergeCell ref="G52:G53"/>
    <mergeCell ref="G54:G55"/>
    <mergeCell ref="K51:N51"/>
    <mergeCell ref="K45:N45"/>
    <mergeCell ref="K46:N46"/>
    <mergeCell ref="K47:N47"/>
    <mergeCell ref="K48:N48"/>
    <mergeCell ref="K49:N49"/>
    <mergeCell ref="K50:N50"/>
    <mergeCell ref="O52:O53"/>
    <mergeCell ref="O54:O55"/>
    <mergeCell ref="G22:O22"/>
    <mergeCell ref="G24:O24"/>
    <mergeCell ref="G25:O25"/>
    <mergeCell ref="K37:N37"/>
    <mergeCell ref="H37:J37"/>
    <mergeCell ref="O38:O39"/>
    <mergeCell ref="K38:N38"/>
    <mergeCell ref="G46:G47"/>
    <mergeCell ref="G48:G49"/>
    <mergeCell ref="I38:J39"/>
    <mergeCell ref="I40:J45"/>
    <mergeCell ref="I46:J47"/>
    <mergeCell ref="I48:J51"/>
    <mergeCell ref="G38:G39"/>
    <mergeCell ref="H38:H39"/>
    <mergeCell ref="G44:G45"/>
    <mergeCell ref="G56:G57"/>
    <mergeCell ref="I52:J55"/>
    <mergeCell ref="H58:J58"/>
    <mergeCell ref="N63:O63"/>
    <mergeCell ref="K55:N55"/>
    <mergeCell ref="H92:J96"/>
    <mergeCell ref="K92:N92"/>
    <mergeCell ref="K93:N93"/>
    <mergeCell ref="K94:N94"/>
    <mergeCell ref="H56:H57"/>
    <mergeCell ref="I56:J57"/>
    <mergeCell ref="N64:O68"/>
    <mergeCell ref="H88:J88"/>
    <mergeCell ref="K88:N88"/>
    <mergeCell ref="K89:N89"/>
    <mergeCell ref="K57:N57"/>
    <mergeCell ref="O95:O96"/>
    <mergeCell ref="K96:N96"/>
    <mergeCell ref="O90:O91"/>
    <mergeCell ref="K91:N91"/>
    <mergeCell ref="O56:O57"/>
    <mergeCell ref="K56:N56"/>
    <mergeCell ref="K53:N53"/>
    <mergeCell ref="K54:N54"/>
    <mergeCell ref="H248:J248"/>
    <mergeCell ref="G245:G247"/>
    <mergeCell ref="H245:N245"/>
    <mergeCell ref="O245:O247"/>
    <mergeCell ref="H246:N246"/>
    <mergeCell ref="H247:N247"/>
    <mergeCell ref="H218:J218"/>
    <mergeCell ref="G131:I131"/>
    <mergeCell ref="J131:L131"/>
    <mergeCell ref="G139:I139"/>
    <mergeCell ref="J139:L139"/>
    <mergeCell ref="N159:O163"/>
    <mergeCell ref="H213:J214"/>
    <mergeCell ref="F229:O229"/>
    <mergeCell ref="H241:N241"/>
    <mergeCell ref="K217:N217"/>
    <mergeCell ref="G242:G244"/>
    <mergeCell ref="H242:N242"/>
    <mergeCell ref="O242:O244"/>
    <mergeCell ref="H243:N243"/>
    <mergeCell ref="H244:N244"/>
    <mergeCell ref="H212:J212"/>
    <mergeCell ref="K216:N216"/>
    <mergeCell ref="F164:N164"/>
    <mergeCell ref="N123:O127"/>
    <mergeCell ref="K113:N113"/>
    <mergeCell ref="H114:J115"/>
    <mergeCell ref="G90:G91"/>
    <mergeCell ref="H97:J97"/>
    <mergeCell ref="H108:J108"/>
    <mergeCell ref="K108:N108"/>
    <mergeCell ref="G95:G96"/>
    <mergeCell ref="K95:N95"/>
    <mergeCell ref="K90:N90"/>
    <mergeCell ref="H89:J91"/>
    <mergeCell ref="H109:J109"/>
    <mergeCell ref="K109:N109"/>
    <mergeCell ref="H110:J112"/>
    <mergeCell ref="K110:N110"/>
    <mergeCell ref="K111:N111"/>
    <mergeCell ref="K112:N112"/>
    <mergeCell ref="K215:N215"/>
    <mergeCell ref="K212:N212"/>
    <mergeCell ref="K213:N213"/>
    <mergeCell ref="O40:O41"/>
    <mergeCell ref="O42:O43"/>
    <mergeCell ref="O44:O45"/>
    <mergeCell ref="O46:O47"/>
    <mergeCell ref="O50:O51"/>
    <mergeCell ref="G201:M201"/>
    <mergeCell ref="F128:O128"/>
    <mergeCell ref="G167:I167"/>
    <mergeCell ref="J167:L167"/>
    <mergeCell ref="N187:O191"/>
    <mergeCell ref="N197:O201"/>
    <mergeCell ref="G198:M198"/>
    <mergeCell ref="K214:N214"/>
    <mergeCell ref="G199:M199"/>
    <mergeCell ref="G200:M200"/>
    <mergeCell ref="G213:G214"/>
    <mergeCell ref="G215:G217"/>
    <mergeCell ref="H215:J217"/>
    <mergeCell ref="K114:N114"/>
    <mergeCell ref="K115:N115"/>
    <mergeCell ref="H116:J116"/>
  </mergeCells>
  <phoneticPr fontId="21"/>
  <conditionalFormatting sqref="F205">
    <cfRule type="expression" dxfId="16" priority="1" stopIfTrue="1">
      <formula>AND(OR(F205&lt;1,F205&gt;5),F205&lt;&gt;0)</formula>
    </cfRule>
    <cfRule type="expression" dxfId="15" priority="2" stopIfTrue="1">
      <formula>J204&gt;0</formula>
    </cfRule>
  </conditionalFormatting>
  <conditionalFormatting sqref="G242:G247">
    <cfRule type="expression" dxfId="14" priority="3" stopIfTrue="1">
      <formula>$J$233&gt;0</formula>
    </cfRule>
  </conditionalFormatting>
  <conditionalFormatting sqref="G109:G115">
    <cfRule type="expression" dxfId="13" priority="4" stopIfTrue="1">
      <formula>$J$100&gt;0</formula>
    </cfRule>
  </conditionalFormatting>
  <conditionalFormatting sqref="G89:G90 G92:G95">
    <cfRule type="expression" dxfId="12" priority="5" stopIfTrue="1">
      <formula>$J$80&gt;0</formula>
    </cfRule>
  </conditionalFormatting>
  <conditionalFormatting sqref="K91:N91">
    <cfRule type="expression" dxfId="11" priority="6" stopIfTrue="1">
      <formula>AND($J$80&gt;0,$G$90=1)</formula>
    </cfRule>
  </conditionalFormatting>
  <conditionalFormatting sqref="K96:N96">
    <cfRule type="expression" dxfId="10" priority="7" stopIfTrue="1">
      <formula>AND($J$80&gt;0,$G$95=1)</formula>
    </cfRule>
  </conditionalFormatting>
  <conditionalFormatting sqref="G213:G217">
    <cfRule type="expression" dxfId="9" priority="8" stopIfTrue="1">
      <formula>$J$204&gt;0</formula>
    </cfRule>
  </conditionalFormatting>
  <conditionalFormatting sqref="G38:G57">
    <cfRule type="expression" dxfId="8" priority="9" stopIfTrue="1">
      <formula>$J$29&gt;0</formula>
    </cfRule>
  </conditionalFormatting>
  <conditionalFormatting sqref="F21 F63 F72 F122 F158 F186 F196 F223 F252">
    <cfRule type="expression" dxfId="7" priority="10" stopIfTrue="1">
      <formula>AND(OR(F21&lt;1,F21&gt;5),F21&lt;&gt;0)</formula>
    </cfRule>
    <cfRule type="expression" dxfId="6" priority="11" stopIfTrue="1">
      <formula>$J20&gt;0</formula>
    </cfRule>
  </conditionalFormatting>
  <dataValidations xWindow="203" yWindow="331" count="6">
    <dataValidation type="list" allowBlank="1" showInputMessage="1" showErrorMessage="1" sqref="G245 G56:G57 G242 G213:G214 G38:G41">
      <formula1>"0,1,2"</formula1>
    </dataValidation>
    <dataValidation type="list" allowBlank="1" showInputMessage="1" showErrorMessage="1" sqref="G89:G90 G114:G115 G92:G95 G109:G112">
      <formula1>"0,1,対象外"</formula1>
    </dataValidation>
    <dataValidation type="list" allowBlank="1" showInputMessage="1" showErrorMessage="1" sqref="G113">
      <formula1>"0,1,2,対象外"</formula1>
    </dataValidation>
    <dataValidation type="list" allowBlank="1" showInputMessage="1" showErrorMessage="1" sqref="G215:G217">
      <formula1>"0,1,2,4"</formula1>
    </dataValidation>
    <dataValidation type="list" allowBlank="1" showInputMessage="1" showErrorMessage="1" sqref="G42:G55">
      <formula1>"0,1,2,3"</formula1>
    </dataValidation>
    <dataValidation type="list" allowBlank="1" showInputMessage="1" sqref="F21 F63 F72 F122 F158 F186 F196 F223 F252">
      <formula1>$B22:$B27</formula1>
    </dataValidation>
  </dataValidations>
  <printOptions horizontalCentered="1"/>
  <pageMargins left="0.59055118110236227" right="0.59055118110236227" top="0.78740157480314965" bottom="0.59055118110236227" header="0.51181102362204722" footer="0.51181102362204722"/>
  <pageSetup paperSize="9" scale="65" fitToHeight="7" orientation="portrait" verticalDpi="4294967293" r:id="rId1"/>
  <headerFooter alignWithMargins="0">
    <oddHeader>&amp;L&amp;F&amp;R&amp;A</oddHeader>
    <oddFooter>&amp;C&amp;P/&amp;N</oddFooter>
  </headerFooter>
  <rowBreaks count="4" manualBreakCount="4">
    <brk id="27" max="16383" man="1"/>
    <brk id="59" max="16383" man="1"/>
    <brk id="117" max="16383" man="1"/>
    <brk id="202"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3"/>
  <sheetViews>
    <sheetView showGridLines="0" workbookViewId="0"/>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1.875" customWidth="1"/>
    <col min="17" max="17" width="6" hidden="1" customWidth="1"/>
    <col min="18" max="18" width="15.5" hidden="1" customWidth="1"/>
    <col min="19" max="19" width="5.25" hidden="1" customWidth="1"/>
    <col min="20" max="20" width="6.375" hidden="1" customWidth="1"/>
    <col min="21" max="21" width="15.5" hidden="1" customWidth="1"/>
    <col min="22" max="22" width="5" hidden="1" customWidth="1"/>
    <col min="23" max="23" width="6.125" hidden="1" customWidth="1"/>
    <col min="24" max="24" width="8" hidden="1" customWidth="1"/>
    <col min="25" max="25" width="6.375" hidden="1" customWidth="1"/>
    <col min="26" max="26" width="5" hidden="1" customWidth="1"/>
  </cols>
  <sheetData>
    <row r="1" spans="1:27" ht="14.25" thickBot="1">
      <c r="A1" s="145"/>
    </row>
    <row r="2" spans="1:27" ht="14.25">
      <c r="B2" s="942" t="str">
        <f>メイン!C6</f>
        <v>CASBEE-建築(新築)2014年版、名古屋市建築物環境配慮制度運用マニュアル2014</v>
      </c>
      <c r="C2" s="943"/>
      <c r="D2" s="944"/>
      <c r="E2" s="945"/>
      <c r="F2" s="2571"/>
      <c r="G2" s="2571"/>
      <c r="H2" s="2571"/>
      <c r="I2" s="2571"/>
      <c r="J2" s="2571"/>
      <c r="K2" s="2571"/>
      <c r="L2" s="3351" t="s">
        <v>2344</v>
      </c>
      <c r="M2" s="3351"/>
      <c r="N2" s="3352" t="str">
        <f>メイン!C6</f>
        <v>CASBEE-建築(新築)2014年版、名古屋市建築物環境配慮制度運用マニュアル2014</v>
      </c>
      <c r="O2" s="3353"/>
    </row>
    <row r="3" spans="1:27" ht="14.25" thickBot="1">
      <c r="B3" s="3355" t="str">
        <f>メイン!C11</f>
        <v>○○ビル</v>
      </c>
      <c r="C3" s="3356"/>
      <c r="D3" s="3356"/>
      <c r="E3" s="3357"/>
      <c r="F3" s="2571"/>
      <c r="G3" s="2571"/>
      <c r="H3" s="2571"/>
      <c r="I3" s="2571"/>
      <c r="J3" s="2571"/>
      <c r="K3" s="2571"/>
      <c r="L3" s="3351" t="s">
        <v>2829</v>
      </c>
      <c r="M3" s="3354"/>
      <c r="N3" s="2533" t="str">
        <f>メイン!C5</f>
        <v>CASBEE_Nagoya_2014(v.1.22)</v>
      </c>
      <c r="O3" s="947"/>
    </row>
    <row r="4" spans="1:27" ht="6.75" customHeight="1" thickBot="1">
      <c r="B4" s="2571"/>
      <c r="C4" s="2571"/>
      <c r="D4" s="2571"/>
      <c r="E4" s="2571"/>
      <c r="F4" s="2571"/>
      <c r="G4" s="2571"/>
      <c r="H4" s="2571"/>
      <c r="I4" s="2571"/>
      <c r="J4" s="2571"/>
      <c r="K4" s="2571"/>
      <c r="L4" s="2571"/>
      <c r="M4" s="2571"/>
      <c r="N4" s="2571"/>
      <c r="O4" s="2571"/>
    </row>
    <row r="5" spans="1:27" ht="18.75">
      <c r="B5" s="948" t="s">
        <v>2615</v>
      </c>
      <c r="C5" s="949"/>
      <c r="D5" s="950"/>
      <c r="E5" s="951"/>
      <c r="F5" s="952"/>
      <c r="G5" s="952"/>
      <c r="H5" s="952"/>
      <c r="I5" s="952"/>
      <c r="J5" s="952"/>
      <c r="K5" s="949"/>
      <c r="L5" s="953"/>
      <c r="M5" s="954"/>
      <c r="N5" s="955"/>
      <c r="O5" s="956"/>
    </row>
    <row r="6" spans="1:27" ht="14.25">
      <c r="B6" s="957"/>
      <c r="C6" s="958"/>
      <c r="D6" s="959"/>
      <c r="E6" s="960"/>
      <c r="F6" s="961"/>
      <c r="G6" s="961"/>
      <c r="H6" s="961"/>
      <c r="I6" s="961"/>
      <c r="J6" s="961"/>
      <c r="K6" s="958"/>
      <c r="L6" s="2339" t="s">
        <v>2616</v>
      </c>
      <c r="M6" s="963"/>
      <c r="N6" s="964"/>
      <c r="O6" s="2568" t="s">
        <v>2617</v>
      </c>
      <c r="R6" t="s">
        <v>849</v>
      </c>
      <c r="S6" t="s">
        <v>848</v>
      </c>
      <c r="T6" t="s">
        <v>850</v>
      </c>
      <c r="U6" t="s">
        <v>851</v>
      </c>
    </row>
    <row r="7" spans="1:27" s="2530" customFormat="1" ht="16.5">
      <c r="B7" s="965" t="s">
        <v>2100</v>
      </c>
      <c r="C7" s="958"/>
      <c r="D7" s="959"/>
      <c r="E7" s="960"/>
      <c r="F7" s="961"/>
      <c r="G7" s="961"/>
      <c r="H7" s="961"/>
      <c r="I7" s="961"/>
      <c r="J7" s="961"/>
      <c r="K7" s="958"/>
      <c r="L7" s="966"/>
      <c r="M7" s="963"/>
      <c r="N7" s="964"/>
      <c r="O7" s="968"/>
    </row>
    <row r="8" spans="1:27" ht="14.25">
      <c r="B8" s="2267"/>
      <c r="C8" s="969" t="s">
        <v>2102</v>
      </c>
      <c r="D8" s="970"/>
      <c r="E8" s="960"/>
      <c r="F8" s="961"/>
      <c r="G8" s="961"/>
      <c r="H8" s="966"/>
      <c r="I8" s="967"/>
      <c r="J8" s="966" t="s">
        <v>2101</v>
      </c>
      <c r="K8" s="967"/>
      <c r="L8" s="966" t="s">
        <v>2101</v>
      </c>
      <c r="M8" s="967"/>
      <c r="N8" s="967"/>
      <c r="O8" s="968" t="s">
        <v>2101</v>
      </c>
    </row>
    <row r="9" spans="1:27">
      <c r="B9" s="2267"/>
      <c r="C9" s="977"/>
      <c r="D9" s="977" t="s">
        <v>357</v>
      </c>
      <c r="E9" s="974"/>
      <c r="F9" s="2572" t="s">
        <v>1763</v>
      </c>
      <c r="G9" s="974"/>
      <c r="H9" s="971" t="s">
        <v>1764</v>
      </c>
      <c r="I9" s="971" t="s">
        <v>1765</v>
      </c>
      <c r="J9" s="971" t="s">
        <v>1766</v>
      </c>
      <c r="K9" s="972" t="s">
        <v>355</v>
      </c>
      <c r="L9" s="973" t="s">
        <v>356</v>
      </c>
      <c r="M9" s="974"/>
      <c r="N9" s="972" t="s">
        <v>355</v>
      </c>
      <c r="O9" s="975" t="s">
        <v>356</v>
      </c>
    </row>
    <row r="10" spans="1:27">
      <c r="B10" s="2271"/>
      <c r="C10" s="977"/>
      <c r="D10" s="977"/>
      <c r="E10" s="977" t="s">
        <v>512</v>
      </c>
      <c r="F10" s="2573">
        <f>メイン!K47</f>
        <v>1</v>
      </c>
      <c r="G10" s="974"/>
      <c r="H10" s="2573">
        <f>IF(OR($F$20=$R$6,$F$20=$U$6),CO2データ!I12,IF($F$20=$S$6,CO2データ!L12,CO2データ!O12))</f>
        <v>13.23</v>
      </c>
      <c r="I10" s="2573">
        <f>IF(OR($F$20=$R$6,$F$20=$U$6),CO2データ!J12,IF($F$20=$S$6,CO2データ!M12,CO2データ!P12))</f>
        <v>13.23</v>
      </c>
      <c r="J10" s="2574">
        <f>IF(OR($F$20=$R$6,$F$20=$U$6),CO2データ!K12,IF($F$20=$S$6,CO2データ!N12,CO2データ!Q12))</f>
        <v>13.23</v>
      </c>
      <c r="K10" s="2285">
        <f>スコア!M80</f>
        <v>3</v>
      </c>
      <c r="L10" s="2575">
        <f t="shared" ref="L10:L18" si="0">IF(K10&gt;=5,$J10,IF(K10&gt;=4,$I10,$H10))</f>
        <v>13.23</v>
      </c>
      <c r="M10" s="974"/>
      <c r="N10" s="2285">
        <v>3</v>
      </c>
      <c r="O10" s="2576">
        <f>IF(OR($F$20=$R$6,$F$20=$U$6),CO2データ!I7,IF($F$20=$S$6,CO2データ!L7,CO2データ!O7))</f>
        <v>13.23</v>
      </c>
    </row>
    <row r="11" spans="1:27">
      <c r="B11" s="2271"/>
      <c r="C11" s="977"/>
      <c r="D11" s="2577"/>
      <c r="E11" s="977" t="s">
        <v>1918</v>
      </c>
      <c r="F11" s="2573">
        <f>メイン!K49</f>
        <v>0</v>
      </c>
      <c r="G11" s="974"/>
      <c r="H11" s="2573">
        <f>IF(OR($F$20=$R$6,$F$20=$U$6),CO2データ!I18,IF($F$20=$S$6,CO2データ!L18,CO2データ!O18))</f>
        <v>11.762999999999998</v>
      </c>
      <c r="I11" s="2573">
        <f>IF(OR($F$20=$R$6,$F$20=$U$6),CO2データ!J18,IF($F$20=$S$6,CO2データ!M18,CO2データ!P18))</f>
        <v>11.762999999999998</v>
      </c>
      <c r="J11" s="2574">
        <f>IF(OR($F$20=$R$6,$F$20=$U$6),CO2データ!K18,IF($F$20=$S$6,CO2データ!N18,CO2データ!Q18))</f>
        <v>11.762999999999998</v>
      </c>
      <c r="K11" s="2285">
        <f t="shared" ref="K11:K18" si="1">K$10</f>
        <v>3</v>
      </c>
      <c r="L11" s="2575">
        <f t="shared" si="0"/>
        <v>11.762999999999998</v>
      </c>
      <c r="M11" s="974"/>
      <c r="N11" s="2285">
        <f t="shared" ref="N11:N18" si="2">N$10</f>
        <v>3</v>
      </c>
      <c r="O11" s="2576">
        <f>IF(OR($F$20=$R$6,$F$20=$U$6),CO2データ!I13,IF($F$20=$S$6,CO2データ!L13,CO2データ!O13))</f>
        <v>11.762999999999998</v>
      </c>
      <c r="AA11" t="str">
        <f>重み!AB6</f>
        <v>学校</v>
      </c>
    </row>
    <row r="12" spans="1:27">
      <c r="B12" s="2271"/>
      <c r="C12" s="977"/>
      <c r="D12" s="977"/>
      <c r="E12" s="977" t="s">
        <v>516</v>
      </c>
      <c r="F12" s="2573">
        <f>メイン!K54</f>
        <v>0</v>
      </c>
      <c r="G12" s="974"/>
      <c r="H12" s="2573">
        <f>IF(OR($F$20=$R$6,$F$20=$U$6),CO2データ!I24,IF($F$20=$S$6,CO2データ!L24,CO2データ!O24))</f>
        <v>22.385999999999999</v>
      </c>
      <c r="I12" s="2573">
        <f>IF(OR($F$20=$R$6,$F$20=$U$6),CO2データ!J24,IF($F$20=$S$6,CO2データ!M24,CO2データ!P24))</f>
        <v>22.385999999999999</v>
      </c>
      <c r="J12" s="2574">
        <f>IF(OR($F$20=$R$6,$F$20=$U$6),CO2データ!K24,IF($F$20=$S$6,CO2データ!N24,CO2データ!Q24))</f>
        <v>22.385999999999999</v>
      </c>
      <c r="K12" s="2285">
        <f t="shared" si="1"/>
        <v>3</v>
      </c>
      <c r="L12" s="2575">
        <f t="shared" si="0"/>
        <v>22.385999999999999</v>
      </c>
      <c r="M12" s="974"/>
      <c r="N12" s="2285">
        <f t="shared" si="2"/>
        <v>3</v>
      </c>
      <c r="O12" s="2576">
        <f>IF(OR($F$20=$R$6,$F$20=$U$6),CO2データ!I19,IF($F$20=$S$6,CO2データ!L19,CO2データ!O19))</f>
        <v>22.385999999999999</v>
      </c>
      <c r="AA12">
        <f>重み!AB7</f>
        <v>0</v>
      </c>
    </row>
    <row r="13" spans="1:27">
      <c r="B13" s="2271"/>
      <c r="C13" s="977"/>
      <c r="D13" s="977"/>
      <c r="E13" s="977" t="s">
        <v>518</v>
      </c>
      <c r="F13" s="2573">
        <f>メイン!K56</f>
        <v>0</v>
      </c>
      <c r="G13" s="974"/>
      <c r="H13" s="2573">
        <f>IF(OR($F$20=$R$6,$F$20=$U$6),CO2データ!I30,IF($F$20=$S$6,CO2データ!L30,CO2データ!O30))</f>
        <v>22.385999999999999</v>
      </c>
      <c r="I13" s="2573">
        <f>IF(OR($F$20=$R$6,$F$20=$U$6),CO2データ!J30,IF($F$20=$S$6,CO2データ!M30,CO2データ!P30))</f>
        <v>22.385999999999999</v>
      </c>
      <c r="J13" s="2574">
        <f>IF(OR($F$20=$R$6,$F$20=$U$6),CO2データ!K30,IF($F$20=$S$6,CO2データ!N30,CO2データ!Q30))</f>
        <v>22.385999999999999</v>
      </c>
      <c r="K13" s="2285">
        <f t="shared" si="1"/>
        <v>3</v>
      </c>
      <c r="L13" s="2575">
        <f t="shared" si="0"/>
        <v>22.385999999999999</v>
      </c>
      <c r="M13" s="974"/>
      <c r="N13" s="2285">
        <f t="shared" si="2"/>
        <v>3</v>
      </c>
      <c r="O13" s="2576">
        <f>IF(OR($F$20=$R$6,$F$20=$U$6),CO2データ!I25,IF($F$20=$S$6,CO2データ!L25,CO2データ!O25))</f>
        <v>22.385999999999999</v>
      </c>
    </row>
    <row r="14" spans="1:27">
      <c r="B14" s="2271"/>
      <c r="C14" s="977"/>
      <c r="D14" s="977"/>
      <c r="E14" s="2273" t="s">
        <v>2129</v>
      </c>
      <c r="F14" s="2573">
        <f>メイン!K57</f>
        <v>0</v>
      </c>
      <c r="G14" s="974"/>
      <c r="H14" s="2573">
        <f>IF(OR($F$20=$R$6,$F$20=$U$6),CO2データ!I36,IF($F$20=$S$6,CO2データ!L36,CO2データ!O36))</f>
        <v>12.471</v>
      </c>
      <c r="I14" s="2573">
        <f>IF(OR($F$20=$R$6,$F$20=$U$6),CO2データ!J36,IF($F$20=$S$6,CO2データ!M36,CO2データ!P36))</f>
        <v>12.471</v>
      </c>
      <c r="J14" s="2574">
        <f>IF(OR($F$20=$R$6,$F$20=$U$6),CO2データ!K36,IF($F$20=$S$6,CO2データ!N36,CO2データ!Q36))</f>
        <v>12.471</v>
      </c>
      <c r="K14" s="2285">
        <f t="shared" si="1"/>
        <v>3</v>
      </c>
      <c r="L14" s="2575">
        <f t="shared" si="0"/>
        <v>12.471</v>
      </c>
      <c r="M14" s="974"/>
      <c r="N14" s="2285">
        <f t="shared" si="2"/>
        <v>3</v>
      </c>
      <c r="O14" s="2576">
        <f>IF(OR($F$20=$R$6,$F$20=$U$6),CO2データ!I31,IF($F$20=$S$6,CO2データ!L31,CO2データ!O31))</f>
        <v>12.471</v>
      </c>
    </row>
    <row r="15" spans="1:27">
      <c r="B15" s="2271"/>
      <c r="C15" s="977"/>
      <c r="D15" s="977"/>
      <c r="E15" s="2273" t="s">
        <v>528</v>
      </c>
      <c r="F15" s="2573">
        <f>メイン!K60</f>
        <v>0</v>
      </c>
      <c r="G15" s="974"/>
      <c r="H15" s="2573">
        <f>IF(OR($F$20=$R$6,$F$20=$U$6),CO2データ!I42,IF($F$20=$S$6,CO2データ!L42,CO2データ!O42))</f>
        <v>22.5</v>
      </c>
      <c r="I15" s="2573">
        <f>IF(OR($F$20=$R$6,$F$20=$U$6),CO2データ!J42,IF($F$20=$S$6,CO2データ!M42,CO2データ!P42))</f>
        <v>22.5</v>
      </c>
      <c r="J15" s="2574">
        <f>IF(OR($F$20=$R$6,$F$20=$U$6),CO2データ!K42,IF($F$20=$S$6,CO2データ!N42,CO2データ!Q42))</f>
        <v>22.5</v>
      </c>
      <c r="K15" s="2285">
        <f t="shared" si="1"/>
        <v>3</v>
      </c>
      <c r="L15" s="2575">
        <f t="shared" si="0"/>
        <v>22.5</v>
      </c>
      <c r="M15" s="974"/>
      <c r="N15" s="2285">
        <f t="shared" si="2"/>
        <v>3</v>
      </c>
      <c r="O15" s="2576">
        <f>IF(OR($F$20=$R$6,$F$20=$U$6),CO2データ!I37,IF($F$20=$S$6,CO2データ!L37,CO2データ!O37))</f>
        <v>22.5</v>
      </c>
    </row>
    <row r="16" spans="1:27">
      <c r="B16" s="2271"/>
      <c r="C16" s="977"/>
      <c r="D16" s="977"/>
      <c r="E16" s="2273" t="s">
        <v>522</v>
      </c>
      <c r="F16" s="2573">
        <f>メイン!K61</f>
        <v>0</v>
      </c>
      <c r="G16" s="974"/>
      <c r="H16" s="2573">
        <f>IF(OR($F$20=$R$6,$F$20=$U$6),CO2データ!I48,IF($F$20=$S$6,CO2データ!L48,CO2データ!O48))</f>
        <v>12.261000000000001</v>
      </c>
      <c r="I16" s="2573">
        <f>IF(OR($F$20=$R$6,$F$20=$U$6),CO2データ!J48,IF($F$20=$S$6,CO2データ!M48,CO2データ!P48))</f>
        <v>12.261000000000001</v>
      </c>
      <c r="J16" s="2574">
        <f>IF(OR($F$20=$R$6,$F$20=$U$6),CO2データ!K48,IF($F$20=$S$6,CO2データ!N48,CO2データ!Q48))</f>
        <v>12.261000000000001</v>
      </c>
      <c r="K16" s="2285">
        <f t="shared" si="1"/>
        <v>3</v>
      </c>
      <c r="L16" s="2575">
        <f t="shared" si="0"/>
        <v>12.261000000000001</v>
      </c>
      <c r="M16" s="974"/>
      <c r="N16" s="2285">
        <f t="shared" si="2"/>
        <v>3</v>
      </c>
      <c r="O16" s="2576">
        <f>IF(OR($F$20=$R$6,$F$20=$U$6),CO2データ!I43,IF($F$20=$S$6,CO2データ!L43,CO2データ!O43))</f>
        <v>12.261000000000001</v>
      </c>
    </row>
    <row r="17" spans="2:21">
      <c r="B17" s="2271"/>
      <c r="C17" s="977"/>
      <c r="D17" s="977"/>
      <c r="E17" s="2273" t="s">
        <v>358</v>
      </c>
      <c r="F17" s="2573">
        <f>メイン!K62</f>
        <v>0</v>
      </c>
      <c r="G17" s="974"/>
      <c r="H17" s="2573">
        <f>IF(OR($F$20=$R$6,$F$20=$U$6),CO2データ!I54,IF($F$20=$S$6,CO2データ!L54,CO2データ!O54))</f>
        <v>12.770000000000001</v>
      </c>
      <c r="I17" s="2573">
        <f>IF(OR($F$20=$R$6,$F$20=$U$6),CO2データ!J54,IF($F$20=$S$6,CO2データ!M54,CO2データ!P54))</f>
        <v>12.770000000000001</v>
      </c>
      <c r="J17" s="2574">
        <f>IF(OR($F$20=$R$6,$F$20=$U$6),CO2データ!K54,IF($F$20=$S$6,CO2データ!N54,CO2データ!Q54))</f>
        <v>12.770000000000001</v>
      </c>
      <c r="K17" s="2285">
        <f t="shared" si="1"/>
        <v>3</v>
      </c>
      <c r="L17" s="2575">
        <f t="shared" si="0"/>
        <v>12.770000000000001</v>
      </c>
      <c r="M17" s="974"/>
      <c r="N17" s="2285">
        <f t="shared" si="2"/>
        <v>3</v>
      </c>
      <c r="O17" s="2576">
        <f>IF(OR($F$20=$R$6,$F$20=$U$6),CO2データ!I49,IF($F$20=$S$6,CO2データ!L49,CO2データ!O49))</f>
        <v>12.770000000000001</v>
      </c>
    </row>
    <row r="18" spans="2:21">
      <c r="B18" s="2271"/>
      <c r="C18" s="977"/>
      <c r="D18" s="977"/>
      <c r="E18" s="2273" t="s">
        <v>2103</v>
      </c>
      <c r="F18" s="2573">
        <f>メイン!K64</f>
        <v>0</v>
      </c>
      <c r="G18" s="974"/>
      <c r="H18" s="2573">
        <f>IF(OR($F$20=$R$6,$F$20=$U$6),CO2データ!I60,IF($F$20=$S$6,CO2データ!L60,CO2データ!O60))</f>
        <v>19.619999999999997</v>
      </c>
      <c r="I18" s="2573">
        <f>IF(OR($F$20=$R$6,$F$20=$U$6),CO2データ!J60,IF($F$20=$S$6,CO2データ!M60,CO2データ!P60))</f>
        <v>9.8079999999999998</v>
      </c>
      <c r="J18" s="2574">
        <f>IF(OR($F$20=$R$6,$F$20=$U$6),CO2データ!K60,IF($F$20=$S$6,CO2データ!N60,CO2データ!Q60))</f>
        <v>6.5390000000000006</v>
      </c>
      <c r="K18" s="2285">
        <f t="shared" si="1"/>
        <v>3</v>
      </c>
      <c r="L18" s="2575">
        <f t="shared" si="0"/>
        <v>19.619999999999997</v>
      </c>
      <c r="M18" s="974"/>
      <c r="N18" s="2285">
        <f t="shared" si="2"/>
        <v>3</v>
      </c>
      <c r="O18" s="2576">
        <f>IF(OR($F$20=$R$6,$F$20=$U$6),CO2データ!I55,IF($F$20=$S$6,CO2データ!L55,CO2データ!O55))</f>
        <v>19.619999999999997</v>
      </c>
    </row>
    <row r="19" spans="2:21">
      <c r="B19" s="2271"/>
      <c r="C19" s="977"/>
      <c r="D19" s="977"/>
      <c r="E19" s="977"/>
      <c r="F19" s="977"/>
      <c r="G19" s="977"/>
      <c r="H19" s="977"/>
      <c r="I19" s="2578"/>
      <c r="J19" s="2578"/>
      <c r="K19" s="2579"/>
      <c r="L19" s="2580"/>
      <c r="M19" s="974"/>
      <c r="N19" s="2579"/>
      <c r="O19" s="2581"/>
    </row>
    <row r="20" spans="2:21">
      <c r="B20" s="2271"/>
      <c r="C20" s="974"/>
      <c r="D20" s="974" t="s">
        <v>359</v>
      </c>
      <c r="E20" s="974"/>
      <c r="F20" s="2582" t="str">
        <f>メイン!C23</f>
        <v>RC造</v>
      </c>
      <c r="G20" s="974"/>
      <c r="H20" s="2583"/>
      <c r="I20" s="2583"/>
      <c r="J20" s="2583"/>
      <c r="K20" s="2584"/>
      <c r="L20" s="974"/>
      <c r="M20" s="974"/>
      <c r="N20" s="2584"/>
      <c r="O20" s="2585"/>
    </row>
    <row r="21" spans="2:21">
      <c r="B21" s="2586"/>
      <c r="C21" s="2268"/>
      <c r="D21" s="2268" t="s">
        <v>360</v>
      </c>
      <c r="E21" s="2268"/>
      <c r="F21" s="2587">
        <f>'条件(標準)'!E31</f>
        <v>0</v>
      </c>
      <c r="G21" s="2268"/>
      <c r="H21" s="2268"/>
      <c r="I21" s="2268"/>
      <c r="J21" s="2268"/>
      <c r="K21" s="2268"/>
      <c r="L21" s="2268"/>
      <c r="M21" s="2268"/>
      <c r="N21" s="2588">
        <v>0</v>
      </c>
      <c r="O21" s="2449"/>
    </row>
    <row r="22" spans="2:21">
      <c r="B22" s="2586"/>
      <c r="C22" s="2268"/>
      <c r="D22" s="2268" t="s">
        <v>2618</v>
      </c>
      <c r="E22" s="2268"/>
      <c r="F22" s="2587">
        <f>'条件(標準)'!E30</f>
        <v>0</v>
      </c>
      <c r="G22" s="2268"/>
      <c r="H22" s="2268"/>
      <c r="I22" s="2268"/>
      <c r="J22" s="2268"/>
      <c r="K22" s="2268"/>
      <c r="L22" s="2268"/>
      <c r="M22" s="2268"/>
      <c r="N22" s="2588">
        <v>0</v>
      </c>
      <c r="O22" s="2449"/>
    </row>
    <row r="23" spans="2:21" ht="5.25" customHeight="1" thickBot="1">
      <c r="B23" s="2586"/>
      <c r="C23" s="2268"/>
      <c r="D23" s="2268"/>
      <c r="E23" s="2268"/>
      <c r="F23" s="2268"/>
      <c r="G23" s="2268"/>
      <c r="H23" s="2268"/>
      <c r="I23" s="2268"/>
      <c r="J23" s="2268"/>
      <c r="K23" s="2268"/>
      <c r="L23" s="2268"/>
      <c r="M23" s="2268"/>
      <c r="N23" s="2268"/>
      <c r="O23" s="2449"/>
    </row>
    <row r="24" spans="2:21" ht="14.25" thickBot="1">
      <c r="B24" s="2586"/>
      <c r="C24" s="969" t="s">
        <v>2619</v>
      </c>
      <c r="D24" s="977"/>
      <c r="E24" s="974"/>
      <c r="F24" s="2268"/>
      <c r="G24" s="2268"/>
      <c r="H24" s="2268"/>
      <c r="I24" s="2268"/>
      <c r="J24" s="2268"/>
      <c r="K24" s="2268"/>
      <c r="L24" s="2589">
        <f>SUMPRODUCT(F10:F18,L10:L18)</f>
        <v>13.23</v>
      </c>
      <c r="M24" s="2268"/>
      <c r="N24" s="2268"/>
      <c r="O24" s="2589">
        <f>SUMPRODUCT(F10:F18,O10:O18)</f>
        <v>13.23</v>
      </c>
    </row>
    <row r="25" spans="2:21">
      <c r="B25" s="2586"/>
      <c r="C25" s="974"/>
      <c r="D25" s="977"/>
      <c r="E25" s="2273"/>
      <c r="F25" s="2268"/>
      <c r="G25" s="2268"/>
      <c r="H25" s="2268"/>
      <c r="I25" s="2268"/>
      <c r="J25" s="2268"/>
      <c r="K25" s="2268"/>
      <c r="L25" s="2590"/>
      <c r="M25" s="2268"/>
      <c r="N25" s="2268"/>
      <c r="O25" s="2591"/>
    </row>
    <row r="26" spans="2:21" hidden="1">
      <c r="B26" s="2586"/>
      <c r="C26" s="974" t="s">
        <v>2620</v>
      </c>
      <c r="D26" s="2268"/>
      <c r="E26" s="977" t="s">
        <v>512</v>
      </c>
      <c r="F26" s="2582">
        <f>メイン!N47</f>
        <v>1</v>
      </c>
      <c r="G26" s="2268"/>
      <c r="H26" s="2573">
        <f>IF(OR($F$20=$R$6,$F$20=$U$6),CO2データ!I203,IF($F$20=$S$6,CO2データ!L203,CO2データ!O203))</f>
        <v>60</v>
      </c>
      <c r="I26" s="2573">
        <f>IF(OR($F$20=$R$6,$F$20=$U$6),CO2データ!J203,IF($F$20=$S$6,CO2データ!M203,CO2データ!P203))</f>
        <v>60</v>
      </c>
      <c r="J26" s="2573">
        <f>IF(OR($F$20=$R$6,$F$20=$U$6),CO2データ!K203,IF($F$20=$S$6,CO2データ!N203,CO2データ!Q203))</f>
        <v>60</v>
      </c>
      <c r="K26" s="2592">
        <f t="shared" ref="K26:K34" si="3">K10</f>
        <v>3</v>
      </c>
      <c r="L26" s="2593">
        <f t="shared" ref="L26:L34" si="4">IF($F26=1,IF($K26&lt;4,$H26,IF($K26&lt;5,$I26,$J26)),0)</f>
        <v>60</v>
      </c>
      <c r="M26" s="2268"/>
      <c r="N26" s="2285">
        <v>3</v>
      </c>
      <c r="O26" s="2594">
        <f t="shared" ref="O26:O34" si="5">IF($F26=1,IF($N26&lt;4,$H26,IF($N26&lt;5,$I26,$J26)),0)</f>
        <v>60</v>
      </c>
      <c r="R26" t="str">
        <f t="shared" ref="R26:R34" si="6">IF($F26&lt;&gt;1,"",$E26&amp;"部分"&amp;L26&amp;"年,")</f>
        <v>事務所部分60年,</v>
      </c>
      <c r="U26" t="str">
        <f t="shared" ref="U26:U34" si="7">IF($F26&lt;&gt;1,"",$E26&amp;"部分"&amp;O26&amp;"年,")</f>
        <v>事務所部分60年,</v>
      </c>
    </row>
    <row r="27" spans="2:21" hidden="1">
      <c r="B27" s="2586"/>
      <c r="C27" s="974"/>
      <c r="D27" s="2268"/>
      <c r="E27" s="977" t="s">
        <v>514</v>
      </c>
      <c r="F27" s="2582">
        <f>メイン!N49</f>
        <v>0</v>
      </c>
      <c r="G27" s="2268"/>
      <c r="H27" s="2573">
        <f>IF(OR($F$20=$R$6,$F$20=$U$6),CO2データ!I204,IF($F$20=$S$6,CO2データ!L204,CO2データ!O204))</f>
        <v>60</v>
      </c>
      <c r="I27" s="2573">
        <f>IF(OR($F$20=$R$6,$F$20=$U$6),CO2データ!J204,IF($F$20=$S$6,CO2データ!M204,CO2データ!P204))</f>
        <v>60</v>
      </c>
      <c r="J27" s="2573">
        <f>IF(OR($F$20=$R$6,$F$20=$U$6),CO2データ!K204,IF($F$20=$S$6,CO2データ!N204,CO2データ!Q204))</f>
        <v>60</v>
      </c>
      <c r="K27" s="2592">
        <f t="shared" si="3"/>
        <v>3</v>
      </c>
      <c r="L27" s="2593">
        <f t="shared" si="4"/>
        <v>0</v>
      </c>
      <c r="M27" s="2268"/>
      <c r="N27" s="2285">
        <v>3</v>
      </c>
      <c r="O27" s="2594">
        <f t="shared" si="5"/>
        <v>0</v>
      </c>
      <c r="R27" t="str">
        <f t="shared" si="6"/>
        <v/>
      </c>
      <c r="U27" t="str">
        <f t="shared" si="7"/>
        <v/>
      </c>
    </row>
    <row r="28" spans="2:21" hidden="1">
      <c r="B28" s="2586"/>
      <c r="C28" s="974"/>
      <c r="D28" s="2268"/>
      <c r="E28" s="977" t="s">
        <v>516</v>
      </c>
      <c r="F28" s="2582">
        <f>メイン!N54</f>
        <v>0</v>
      </c>
      <c r="G28" s="2268"/>
      <c r="H28" s="2573">
        <f>IF(OR($F$20=$R$6,$F$20=$U$6),CO2データ!I205,IF($F$20=$S$6,CO2データ!L205,CO2データ!O205))</f>
        <v>30</v>
      </c>
      <c r="I28" s="2573">
        <f>IF(OR($F$20=$R$6,$F$20=$U$6),CO2データ!J205,IF($F$20=$S$6,CO2データ!M205,CO2データ!P205))</f>
        <v>30</v>
      </c>
      <c r="J28" s="2573">
        <f>IF(OR($F$20=$R$6,$F$20=$U$6),CO2データ!K205,IF($F$20=$S$6,CO2データ!N205,CO2データ!Q205))</f>
        <v>30</v>
      </c>
      <c r="K28" s="2592">
        <f t="shared" si="3"/>
        <v>3</v>
      </c>
      <c r="L28" s="2593">
        <f t="shared" si="4"/>
        <v>0</v>
      </c>
      <c r="M28" s="2268"/>
      <c r="N28" s="2285">
        <v>3</v>
      </c>
      <c r="O28" s="2594">
        <f t="shared" si="5"/>
        <v>0</v>
      </c>
      <c r="R28" t="str">
        <f t="shared" si="6"/>
        <v/>
      </c>
      <c r="U28" t="str">
        <f t="shared" si="7"/>
        <v/>
      </c>
    </row>
    <row r="29" spans="2:21" hidden="1">
      <c r="B29" s="2586"/>
      <c r="C29" s="974"/>
      <c r="D29" s="2268"/>
      <c r="E29" s="977" t="s">
        <v>518</v>
      </c>
      <c r="F29" s="2582">
        <f>メイン!N56</f>
        <v>0</v>
      </c>
      <c r="G29" s="2268"/>
      <c r="H29" s="2573">
        <f>IF(OR($F$20=$R$6,$F$20=$U$6),CO2データ!I206,IF($F$20=$S$6,CO2データ!L206,CO2データ!O206))</f>
        <v>30</v>
      </c>
      <c r="I29" s="2573">
        <f>IF(OR($F$20=$R$6,$F$20=$U$6),CO2データ!J206,IF($F$20=$S$6,CO2データ!M206,CO2データ!P206))</f>
        <v>30</v>
      </c>
      <c r="J29" s="2573">
        <f>IF(OR($F$20=$R$6,$F$20=$U$6),CO2データ!K206,IF($F$20=$S$6,CO2データ!N206,CO2データ!Q206))</f>
        <v>30</v>
      </c>
      <c r="K29" s="2592">
        <f t="shared" si="3"/>
        <v>3</v>
      </c>
      <c r="L29" s="2593">
        <f t="shared" si="4"/>
        <v>0</v>
      </c>
      <c r="M29" s="2268"/>
      <c r="N29" s="2285">
        <v>3</v>
      </c>
      <c r="O29" s="2594">
        <f t="shared" si="5"/>
        <v>0</v>
      </c>
      <c r="R29" t="str">
        <f t="shared" si="6"/>
        <v/>
      </c>
      <c r="U29" t="str">
        <f t="shared" si="7"/>
        <v/>
      </c>
    </row>
    <row r="30" spans="2:21" hidden="1">
      <c r="B30" s="2586"/>
      <c r="C30" s="974"/>
      <c r="D30" s="2268"/>
      <c r="E30" s="2273" t="s">
        <v>2129</v>
      </c>
      <c r="F30" s="2582">
        <f>メイン!N57</f>
        <v>0</v>
      </c>
      <c r="G30" s="2268"/>
      <c r="H30" s="2573">
        <f>IF(OR($F$20=$R$6,$F$20=$U$6),CO2データ!I207,IF($F$20=$S$6,CO2データ!L207,CO2データ!O207))</f>
        <v>60</v>
      </c>
      <c r="I30" s="2573">
        <f>IF(OR($F$20=$R$6,$F$20=$U$6),CO2データ!J207,IF($F$20=$S$6,CO2データ!M207,CO2データ!P207))</f>
        <v>60</v>
      </c>
      <c r="J30" s="2573">
        <f>IF(OR($F$20=$R$6,$F$20=$U$6),CO2データ!K207,IF($F$20=$S$6,CO2データ!N207,CO2データ!Q207))</f>
        <v>60</v>
      </c>
      <c r="K30" s="2592">
        <f t="shared" si="3"/>
        <v>3</v>
      </c>
      <c r="L30" s="2593">
        <f t="shared" si="4"/>
        <v>0</v>
      </c>
      <c r="M30" s="2268"/>
      <c r="N30" s="2285">
        <v>3</v>
      </c>
      <c r="O30" s="2594">
        <f t="shared" si="5"/>
        <v>0</v>
      </c>
      <c r="R30" t="str">
        <f t="shared" si="6"/>
        <v/>
      </c>
      <c r="U30" t="str">
        <f t="shared" si="7"/>
        <v/>
      </c>
    </row>
    <row r="31" spans="2:21" hidden="1">
      <c r="B31" s="2586"/>
      <c r="C31" s="974"/>
      <c r="D31" s="2268"/>
      <c r="E31" s="2273" t="s">
        <v>528</v>
      </c>
      <c r="F31" s="2582">
        <f>メイン!N61</f>
        <v>0</v>
      </c>
      <c r="G31" s="2268"/>
      <c r="H31" s="2573">
        <f>IF(OR($F$20=$R$6,$F$20=$U$6),CO2データ!I208,IF($F$20=$S$6,CO2データ!L208,CO2データ!O208))</f>
        <v>30</v>
      </c>
      <c r="I31" s="2573">
        <f>IF(OR($F$20=$R$6,$F$20=$U$6),CO2データ!J208,IF($F$20=$S$6,CO2データ!M208,CO2データ!P208))</f>
        <v>30</v>
      </c>
      <c r="J31" s="2573">
        <f>IF(OR($F$20=$R$6,$F$20=$U$6),CO2データ!K208,IF($F$20=$S$6,CO2データ!N208,CO2データ!Q208))</f>
        <v>30</v>
      </c>
      <c r="K31" s="2592">
        <f t="shared" si="3"/>
        <v>3</v>
      </c>
      <c r="L31" s="2593">
        <f t="shared" si="4"/>
        <v>0</v>
      </c>
      <c r="M31" s="2268"/>
      <c r="N31" s="2285">
        <v>3</v>
      </c>
      <c r="O31" s="2594">
        <f t="shared" si="5"/>
        <v>0</v>
      </c>
      <c r="R31" t="str">
        <f t="shared" si="6"/>
        <v/>
      </c>
      <c r="U31" t="str">
        <f t="shared" si="7"/>
        <v/>
      </c>
    </row>
    <row r="32" spans="2:21" hidden="1">
      <c r="B32" s="2586"/>
      <c r="C32" s="974"/>
      <c r="D32" s="2268"/>
      <c r="E32" s="2273" t="s">
        <v>522</v>
      </c>
      <c r="F32" s="2582">
        <f>メイン!N62</f>
        <v>0</v>
      </c>
      <c r="G32" s="2268"/>
      <c r="H32" s="2573">
        <f>IF(OR($F$20=$R$6,$F$20=$U$6),CO2データ!I209,IF($F$20=$S$6,CO2データ!L209,CO2データ!O209))</f>
        <v>60</v>
      </c>
      <c r="I32" s="2573">
        <f>IF(OR($F$20=$R$6,$F$20=$U$6),CO2データ!J209,IF($F$20=$S$6,CO2データ!M209,CO2データ!P209))</f>
        <v>60</v>
      </c>
      <c r="J32" s="2573">
        <f>IF(OR($F$20=$R$6,$F$20=$U$6),CO2データ!K209,IF($F$20=$S$6,CO2データ!N209,CO2データ!Q209))</f>
        <v>60</v>
      </c>
      <c r="K32" s="2592">
        <f t="shared" si="3"/>
        <v>3</v>
      </c>
      <c r="L32" s="2593">
        <f t="shared" si="4"/>
        <v>0</v>
      </c>
      <c r="M32" s="2268"/>
      <c r="N32" s="2285">
        <v>3</v>
      </c>
      <c r="O32" s="2594">
        <f t="shared" si="5"/>
        <v>0</v>
      </c>
      <c r="R32" t="str">
        <f t="shared" si="6"/>
        <v/>
      </c>
      <c r="U32" t="str">
        <f t="shared" si="7"/>
        <v/>
      </c>
    </row>
    <row r="33" spans="2:21" hidden="1">
      <c r="B33" s="2586"/>
      <c r="C33" s="974"/>
      <c r="D33" s="2268"/>
      <c r="E33" s="2273" t="s">
        <v>358</v>
      </c>
      <c r="F33" s="2582">
        <f>メイン!N63</f>
        <v>0</v>
      </c>
      <c r="G33" s="2268"/>
      <c r="H33" s="2573">
        <f>IF(OR($F$20=$R$6,$F$20=$U$6),CO2データ!I210,IF($F$20=$S$6,CO2データ!L210,CO2データ!O210))</f>
        <v>60</v>
      </c>
      <c r="I33" s="2573">
        <f>IF(OR($F$20=$R$6,$F$20=$U$6),CO2データ!J210,IF($F$20=$S$6,CO2データ!M210,CO2データ!P210))</f>
        <v>60</v>
      </c>
      <c r="J33" s="2573">
        <f>IF(OR($F$20=$R$6,$F$20=$U$6),CO2データ!K210,IF($F$20=$S$6,CO2データ!N210,CO2データ!Q210))</f>
        <v>60</v>
      </c>
      <c r="K33" s="2592">
        <f t="shared" si="3"/>
        <v>3</v>
      </c>
      <c r="L33" s="2593">
        <f t="shared" si="4"/>
        <v>0</v>
      </c>
      <c r="M33" s="2268"/>
      <c r="N33" s="2285">
        <v>3</v>
      </c>
      <c r="O33" s="2594">
        <f t="shared" si="5"/>
        <v>0</v>
      </c>
      <c r="R33" t="str">
        <f t="shared" si="6"/>
        <v/>
      </c>
      <c r="U33" t="str">
        <f t="shared" si="7"/>
        <v/>
      </c>
    </row>
    <row r="34" spans="2:21" hidden="1">
      <c r="B34" s="2586"/>
      <c r="C34" s="974"/>
      <c r="D34" s="2268"/>
      <c r="E34" s="2273" t="s">
        <v>526</v>
      </c>
      <c r="F34" s="2582">
        <f>メイン!N60</f>
        <v>0</v>
      </c>
      <c r="G34" s="2268"/>
      <c r="H34" s="2573">
        <f>IF(OR($F$20=$R$6,$F$20=$U$6),CO2データ!I211,IF($F$20=$S$6,CO2データ!L211,CO2データ!O211))</f>
        <v>30</v>
      </c>
      <c r="I34" s="2573">
        <f>IF(OR($F$20=$R$6,$F$20=$U$6),CO2データ!J211,IF($F$20=$S$6,CO2データ!M211,CO2データ!P211))</f>
        <v>60</v>
      </c>
      <c r="J34" s="2573">
        <f>IF(OR($F$20=$R$6,$F$20=$U$6),CO2データ!K211,IF($F$20=$S$6,CO2データ!N211,CO2データ!Q211))</f>
        <v>90</v>
      </c>
      <c r="K34" s="2592">
        <f t="shared" si="3"/>
        <v>3</v>
      </c>
      <c r="L34" s="2593">
        <f t="shared" si="4"/>
        <v>0</v>
      </c>
      <c r="M34" s="2268"/>
      <c r="N34" s="2285">
        <v>3</v>
      </c>
      <c r="O34" s="2594">
        <f t="shared" si="5"/>
        <v>0</v>
      </c>
      <c r="R34" t="str">
        <f t="shared" si="6"/>
        <v/>
      </c>
      <c r="U34" t="str">
        <f t="shared" si="7"/>
        <v/>
      </c>
    </row>
    <row r="35" spans="2:21" ht="14.25" hidden="1" thickBot="1">
      <c r="B35" s="2586"/>
      <c r="C35" s="974"/>
      <c r="D35" s="2268"/>
      <c r="E35" s="2273"/>
      <c r="F35" s="2273"/>
      <c r="G35" s="2273"/>
      <c r="H35" s="2273"/>
      <c r="I35" s="2273"/>
      <c r="J35" s="2273"/>
      <c r="K35" s="2273"/>
      <c r="L35" s="2595" t="str">
        <f>R26&amp;R27&amp;R28&amp;R29&amp;R30&amp;R31&amp;R32&amp;R33&amp;R34&amp;R35</f>
        <v>事務所部分60年,</v>
      </c>
      <c r="M35" s="2273"/>
      <c r="N35" s="2273"/>
      <c r="O35" s="2595" t="str">
        <f>U26&amp;U27&amp;U28&amp;U29&amp;U30&amp;U31&amp;U32&amp;U33&amp;U34&amp;U35</f>
        <v>事務所部分60年,</v>
      </c>
      <c r="R35" t="str">
        <f>IF(SUM(F26:F34)&gt;1,"他","")</f>
        <v/>
      </c>
      <c r="U35" t="str">
        <f>IF(SUM(F26:F34)&gt;1,"他","")</f>
        <v/>
      </c>
    </row>
    <row r="36" spans="2:21" hidden="1">
      <c r="B36" s="2586"/>
      <c r="C36" s="974"/>
      <c r="D36" s="2268"/>
      <c r="E36" s="2273"/>
      <c r="F36" s="2273"/>
      <c r="G36" s="2273"/>
      <c r="H36" s="2273"/>
      <c r="I36" s="2273"/>
      <c r="J36" s="2273"/>
      <c r="K36" s="2273"/>
      <c r="L36" s="2273"/>
      <c r="M36" s="2273"/>
      <c r="N36" s="2273"/>
      <c r="O36" s="2596"/>
    </row>
    <row r="37" spans="2:21" hidden="1">
      <c r="B37" s="2597"/>
      <c r="C37" s="2598" t="s">
        <v>2621</v>
      </c>
      <c r="D37" s="2598"/>
      <c r="E37" s="2270"/>
      <c r="F37" s="2270"/>
      <c r="G37" s="2270"/>
      <c r="H37" s="2599"/>
      <c r="I37" s="2600" t="s">
        <v>2622</v>
      </c>
      <c r="J37" s="2600" t="s">
        <v>2623</v>
      </c>
      <c r="K37" s="2601"/>
      <c r="L37" s="2601"/>
      <c r="M37" s="2601"/>
      <c r="N37" s="2601"/>
      <c r="O37" s="2602"/>
    </row>
    <row r="38" spans="2:21" hidden="1">
      <c r="B38" s="2597"/>
      <c r="C38" s="2270"/>
      <c r="D38" s="2270" t="s">
        <v>1916</v>
      </c>
      <c r="E38" s="2270"/>
      <c r="F38" s="2573">
        <f>F10</f>
        <v>1</v>
      </c>
      <c r="G38" s="2270"/>
      <c r="H38" s="2573">
        <f>IF(OR($F$20=$R$6,$F$20=$U$6),CO2データ!I214,IF($F$20=$S$6,CO2データ!L214,CO2データ!O214))</f>
        <v>0.77200000000000002</v>
      </c>
      <c r="I38" s="2573">
        <f>IF(OR($F$20=$R$6,$F$20=$U$6),CO2データ!J214,IF($F$20=$S$6,CO2データ!M214,CO2データ!P214))</f>
        <v>0</v>
      </c>
      <c r="J38" s="2573">
        <f>IF(OR($F$20=$R$6,$F$20=$U$6),CO2データ!K214,IF($F$20=$S$6,CO2データ!N214,CO2データ!Q214))</f>
        <v>0</v>
      </c>
      <c r="K38" s="2601"/>
      <c r="L38" s="2599">
        <f t="shared" ref="L38:L69" si="8">H38-(H38-I38)*$F$21-(H38-J38)*$F$22</f>
        <v>0.77200000000000002</v>
      </c>
      <c r="M38" s="2601"/>
      <c r="N38" s="2599"/>
      <c r="O38" s="2603">
        <f t="shared" ref="O38:O69" si="9">H38</f>
        <v>0.77200000000000002</v>
      </c>
      <c r="P38" t="s">
        <v>2625</v>
      </c>
    </row>
    <row r="39" spans="2:21" hidden="1">
      <c r="B39" s="2597"/>
      <c r="C39" s="2270"/>
      <c r="D39" s="2270"/>
      <c r="E39" s="2270"/>
      <c r="F39" s="2573">
        <f>$F$38</f>
        <v>1</v>
      </c>
      <c r="G39" s="2270"/>
      <c r="H39" s="2573">
        <f>IF(OR($F$20=$R$6,$F$20=$U$6),CO2データ!I215,IF($F$20=$S$6,CO2データ!L215,CO2データ!O215))</f>
        <v>0</v>
      </c>
      <c r="I39" s="2573">
        <f>IF(OR($F$20=$R$6,$F$20=$U$6),CO2データ!J215,IF($F$20=$S$6,CO2データ!M215,CO2データ!P215))</f>
        <v>0</v>
      </c>
      <c r="J39" s="2573">
        <f>IF(OR($F$20=$R$6,$F$20=$U$6),CO2データ!K215,IF($F$20=$S$6,CO2データ!N215,CO2データ!Q215))</f>
        <v>0.77200000000000002</v>
      </c>
      <c r="K39" s="2601"/>
      <c r="L39" s="2599">
        <f t="shared" si="8"/>
        <v>0</v>
      </c>
      <c r="M39" s="2601"/>
      <c r="N39" s="2599"/>
      <c r="O39" s="2603">
        <f t="shared" si="9"/>
        <v>0</v>
      </c>
      <c r="P39" t="s">
        <v>2625</v>
      </c>
    </row>
    <row r="40" spans="2:21" hidden="1">
      <c r="B40" s="2597"/>
      <c r="C40" s="2270"/>
      <c r="D40" s="2270"/>
      <c r="E40" s="2270"/>
      <c r="F40" s="2573">
        <f>$F$38</f>
        <v>1</v>
      </c>
      <c r="G40" s="2270"/>
      <c r="H40" s="2573">
        <f>IF(OR($F$20=$R$6,$F$20=$U$6),CO2データ!I216,IF($F$20=$S$6,CO2データ!L216,CO2データ!O216))</f>
        <v>3.7999999999999999E-2</v>
      </c>
      <c r="I40" s="2573">
        <f>IF(OR($F$20=$R$6,$F$20=$U$6),CO2データ!J216,IF($F$20=$S$6,CO2データ!M216,CO2データ!P216))</f>
        <v>0</v>
      </c>
      <c r="J40" s="2573">
        <f>IF(OR($F$20=$R$6,$F$20=$U$6),CO2データ!K216,IF($F$20=$S$6,CO2データ!N216,CO2データ!Q216))</f>
        <v>3.7999999999999999E-2</v>
      </c>
      <c r="K40" s="2601"/>
      <c r="L40" s="2599">
        <f t="shared" si="8"/>
        <v>3.7999999999999999E-2</v>
      </c>
      <c r="M40" s="2601"/>
      <c r="N40" s="2599"/>
      <c r="O40" s="2603">
        <f t="shared" si="9"/>
        <v>3.7999999999999999E-2</v>
      </c>
      <c r="P40" t="s">
        <v>2628</v>
      </c>
    </row>
    <row r="41" spans="2:21" hidden="1">
      <c r="B41" s="2597"/>
      <c r="C41" s="2270"/>
      <c r="D41" s="2270"/>
      <c r="E41" s="2270"/>
      <c r="F41" s="2573">
        <f>$F$38</f>
        <v>1</v>
      </c>
      <c r="G41" s="2270"/>
      <c r="H41" s="2573">
        <f>IF(OR($F$20=$R$6,$F$20=$U$6),CO2データ!I217,IF($F$20=$S$6,CO2データ!L217,CO2データ!O217))</f>
        <v>0</v>
      </c>
      <c r="I41" s="2573">
        <f>IF(OR($F$20=$R$6,$F$20=$U$6),CO2データ!J217,IF($F$20=$S$6,CO2データ!M217,CO2データ!P217))</f>
        <v>0</v>
      </c>
      <c r="J41" s="2573">
        <f>IF(OR($F$20=$R$6,$F$20=$U$6),CO2データ!K217,IF($F$20=$S$6,CO2データ!N217,CO2データ!Q217))</f>
        <v>0</v>
      </c>
      <c r="K41" s="2601"/>
      <c r="L41" s="2599">
        <f t="shared" si="8"/>
        <v>0</v>
      </c>
      <c r="M41" s="2601"/>
      <c r="N41" s="2599"/>
      <c r="O41" s="2603">
        <f t="shared" si="9"/>
        <v>0</v>
      </c>
      <c r="P41" t="s">
        <v>2628</v>
      </c>
    </row>
    <row r="42" spans="2:21" hidden="1">
      <c r="B42" s="2597"/>
      <c r="C42" s="2270"/>
      <c r="D42" s="2270"/>
      <c r="E42" s="2270"/>
      <c r="F42" s="2573">
        <f>$F$38</f>
        <v>1</v>
      </c>
      <c r="G42" s="2270"/>
      <c r="H42" s="2573">
        <f>IF(OR($F$20=$R$6,$F$20=$U$6),CO2データ!I218,IF($F$20=$S$6,CO2データ!L218,CO2データ!O218))</f>
        <v>0.10299999999999999</v>
      </c>
      <c r="I42" s="2573">
        <f>IF(OR($F$20=$R$6,$F$20=$U$6),CO2データ!J218,IF($F$20=$S$6,CO2データ!M218,CO2データ!P218))</f>
        <v>0</v>
      </c>
      <c r="J42" s="2573">
        <f>IF(OR($F$20=$R$6,$F$20=$U$6),CO2データ!K218,IF($F$20=$S$6,CO2データ!N218,CO2データ!Q218))</f>
        <v>0.10299999999999999</v>
      </c>
      <c r="K42" s="2601"/>
      <c r="L42" s="2599">
        <f t="shared" si="8"/>
        <v>0.10299999999999999</v>
      </c>
      <c r="M42" s="2601"/>
      <c r="N42" s="2599"/>
      <c r="O42" s="2603">
        <f t="shared" si="9"/>
        <v>0.10299999999999999</v>
      </c>
      <c r="P42" t="s">
        <v>2628</v>
      </c>
    </row>
    <row r="43" spans="2:21" hidden="1">
      <c r="B43" s="2597"/>
      <c r="C43" s="2270"/>
      <c r="D43" s="2270"/>
      <c r="E43" s="2270"/>
      <c r="F43" s="2573">
        <f>$F$38</f>
        <v>1</v>
      </c>
      <c r="G43" s="2270"/>
      <c r="H43" s="2573">
        <f>IF(OR($F$20=$R$6,$F$20=$U$6),CO2データ!I219,IF($F$20=$S$6,CO2データ!L219,CO2データ!O219))</f>
        <v>1.2999999999999999E-2</v>
      </c>
      <c r="I43" s="2573">
        <f>IF(OR($F$20=$R$6,$F$20=$U$6),CO2データ!J219,IF($F$20=$S$6,CO2データ!M219,CO2データ!P219))</f>
        <v>0</v>
      </c>
      <c r="J43" s="2573">
        <f>IF(OR($F$20=$R$6,$F$20=$U$6),CO2データ!K219,IF($F$20=$S$6,CO2データ!N219,CO2データ!Q219))</f>
        <v>1.26E-2</v>
      </c>
      <c r="K43" s="2601"/>
      <c r="L43" s="2599">
        <f t="shared" si="8"/>
        <v>1.2999999999999999E-2</v>
      </c>
      <c r="M43" s="2601"/>
      <c r="N43" s="2599"/>
      <c r="O43" s="2603">
        <f t="shared" si="9"/>
        <v>1.2999999999999999E-2</v>
      </c>
      <c r="P43" t="s">
        <v>2628</v>
      </c>
    </row>
    <row r="44" spans="2:21" hidden="1">
      <c r="B44" s="2597"/>
      <c r="C44" s="2270"/>
      <c r="D44" s="2270" t="s">
        <v>1918</v>
      </c>
      <c r="E44" s="2270"/>
      <c r="F44" s="2573">
        <f>F11</f>
        <v>0</v>
      </c>
      <c r="G44" s="2270"/>
      <c r="H44" s="2573">
        <f>IF(OR($F$20=$R$6,$F$20=$U$6),CO2データ!I220,IF($F$20=$S$6,CO2データ!L220,CO2データ!O220))</f>
        <v>0.86499999999999999</v>
      </c>
      <c r="I44" s="2573">
        <f>IF(OR($F$20=$R$6,$F$20=$U$6),CO2データ!J220,IF($F$20=$S$6,CO2データ!M220,CO2データ!P220))</f>
        <v>0</v>
      </c>
      <c r="J44" s="2573">
        <f>IF(OR($F$20=$R$6,$F$20=$U$6),CO2データ!K220,IF($F$20=$S$6,CO2データ!N220,CO2データ!Q220))</f>
        <v>0</v>
      </c>
      <c r="K44" s="2601"/>
      <c r="L44" s="2599">
        <f t="shared" si="8"/>
        <v>0.86499999999999999</v>
      </c>
      <c r="M44" s="2601"/>
      <c r="N44" s="2599"/>
      <c r="O44" s="2603">
        <f t="shared" si="9"/>
        <v>0.86499999999999999</v>
      </c>
      <c r="P44" t="s">
        <v>2625</v>
      </c>
    </row>
    <row r="45" spans="2:21" hidden="1">
      <c r="B45" s="2597"/>
      <c r="C45" s="2270"/>
      <c r="D45" s="2270"/>
      <c r="E45" s="2270"/>
      <c r="F45" s="2573">
        <f>$F$44</f>
        <v>0</v>
      </c>
      <c r="G45" s="2270"/>
      <c r="H45" s="2573">
        <f>IF(OR($F$20=$R$6,$F$20=$U$6),CO2データ!I221,IF($F$20=$S$6,CO2データ!L221,CO2データ!O221))</f>
        <v>0</v>
      </c>
      <c r="I45" s="2573">
        <f>IF(OR($F$20=$R$6,$F$20=$U$6),CO2データ!J221,IF($F$20=$S$6,CO2データ!M221,CO2データ!P221))</f>
        <v>0</v>
      </c>
      <c r="J45" s="2573">
        <f>IF(OR($F$20=$R$6,$F$20=$U$6),CO2データ!K221,IF($F$20=$S$6,CO2データ!N221,CO2データ!Q221))</f>
        <v>0.86499999999999999</v>
      </c>
      <c r="K45" s="2601"/>
      <c r="L45" s="2599">
        <f t="shared" si="8"/>
        <v>0</v>
      </c>
      <c r="M45" s="2601"/>
      <c r="N45" s="2599"/>
      <c r="O45" s="2603">
        <f t="shared" si="9"/>
        <v>0</v>
      </c>
      <c r="P45" t="s">
        <v>2625</v>
      </c>
    </row>
    <row r="46" spans="2:21" hidden="1">
      <c r="B46" s="2597"/>
      <c r="C46" s="2270"/>
      <c r="D46" s="2270"/>
      <c r="E46" s="2270"/>
      <c r="F46" s="2573">
        <f>$F$44</f>
        <v>0</v>
      </c>
      <c r="G46" s="2270"/>
      <c r="H46" s="2573">
        <f>IF(OR($F$20=$R$6,$F$20=$U$6),CO2データ!I222,IF($F$20=$S$6,CO2データ!L222,CO2データ!O222))</f>
        <v>5.0000000000000001E-3</v>
      </c>
      <c r="I46" s="2573">
        <f>IF(OR($F$20=$R$6,$F$20=$U$6),CO2データ!J222,IF($F$20=$S$6,CO2データ!M222,CO2データ!P222))</f>
        <v>0</v>
      </c>
      <c r="J46" s="2573">
        <f>IF(OR($F$20=$R$6,$F$20=$U$6),CO2データ!K222,IF($F$20=$S$6,CO2データ!N222,CO2データ!Q222))</f>
        <v>5.0000000000000001E-3</v>
      </c>
      <c r="K46" s="2601"/>
      <c r="L46" s="2599">
        <f t="shared" si="8"/>
        <v>5.0000000000000001E-3</v>
      </c>
      <c r="M46" s="2601"/>
      <c r="N46" s="2599"/>
      <c r="O46" s="2603">
        <f t="shared" si="9"/>
        <v>5.0000000000000001E-3</v>
      </c>
      <c r="P46" t="s">
        <v>2628</v>
      </c>
    </row>
    <row r="47" spans="2:21" hidden="1">
      <c r="B47" s="2597"/>
      <c r="C47" s="2270"/>
      <c r="D47" s="2270"/>
      <c r="E47" s="2270"/>
      <c r="F47" s="2573">
        <f>$F$44</f>
        <v>0</v>
      </c>
      <c r="G47" s="2270"/>
      <c r="H47" s="2573">
        <f>IF(OR($F$20=$R$6,$F$20=$U$6),CO2データ!I223,IF($F$20=$S$6,CO2データ!L223,CO2データ!O223))</f>
        <v>0</v>
      </c>
      <c r="I47" s="2573">
        <f>IF(OR($F$20=$R$6,$F$20=$U$6),CO2データ!J223,IF($F$20=$S$6,CO2データ!M223,CO2データ!P223))</f>
        <v>0</v>
      </c>
      <c r="J47" s="2573">
        <f>IF(OR($F$20=$R$6,$F$20=$U$6),CO2データ!K223,IF($F$20=$S$6,CO2データ!N223,CO2データ!Q223))</f>
        <v>0</v>
      </c>
      <c r="K47" s="2601"/>
      <c r="L47" s="2599">
        <f t="shared" si="8"/>
        <v>0</v>
      </c>
      <c r="M47" s="2601"/>
      <c r="N47" s="2599"/>
      <c r="O47" s="2603">
        <f t="shared" si="9"/>
        <v>0</v>
      </c>
      <c r="P47" t="s">
        <v>2628</v>
      </c>
    </row>
    <row r="48" spans="2:21" hidden="1">
      <c r="B48" s="2597"/>
      <c r="C48" s="2270"/>
      <c r="D48" s="2270"/>
      <c r="E48" s="2270"/>
      <c r="F48" s="2573">
        <f>$F$44</f>
        <v>0</v>
      </c>
      <c r="G48" s="2270"/>
      <c r="H48" s="2573">
        <f>IF(OR($F$20=$R$6,$F$20=$U$6),CO2データ!I224,IF($F$20=$S$6,CO2データ!L224,CO2データ!O224))</f>
        <v>0.112</v>
      </c>
      <c r="I48" s="2573">
        <f>IF(OR($F$20=$R$6,$F$20=$U$6),CO2データ!J224,IF($F$20=$S$6,CO2データ!M224,CO2データ!P224))</f>
        <v>0</v>
      </c>
      <c r="J48" s="2573">
        <f>IF(OR($F$20=$R$6,$F$20=$U$6),CO2データ!K224,IF($F$20=$S$6,CO2データ!N224,CO2データ!Q224))</f>
        <v>0.112</v>
      </c>
      <c r="K48" s="2601"/>
      <c r="L48" s="2599">
        <f t="shared" si="8"/>
        <v>0.112</v>
      </c>
      <c r="M48" s="2601"/>
      <c r="N48" s="2599"/>
      <c r="O48" s="2603">
        <f t="shared" si="9"/>
        <v>0.112</v>
      </c>
      <c r="P48" t="s">
        <v>2628</v>
      </c>
    </row>
    <row r="49" spans="2:16" hidden="1">
      <c r="B49" s="2597"/>
      <c r="C49" s="2270"/>
      <c r="D49" s="2270"/>
      <c r="E49" s="2270"/>
      <c r="F49" s="2573">
        <f>$F$44</f>
        <v>0</v>
      </c>
      <c r="G49" s="2270"/>
      <c r="H49" s="2573">
        <f>IF(OR($F$20=$R$6,$F$20=$U$6),CO2データ!I225,IF($F$20=$S$6,CO2データ!L225,CO2データ!O225))</f>
        <v>1.4999999999999999E-2</v>
      </c>
      <c r="I49" s="2573">
        <f>IF(OR($F$20=$R$6,$F$20=$U$6),CO2データ!J225,IF($F$20=$S$6,CO2データ!M225,CO2データ!P225))</f>
        <v>0</v>
      </c>
      <c r="J49" s="2573">
        <f>IF(OR($F$20=$R$6,$F$20=$U$6),CO2データ!K225,IF($F$20=$S$6,CO2データ!N225,CO2データ!Q225))</f>
        <v>1.47E-2</v>
      </c>
      <c r="K49" s="2601"/>
      <c r="L49" s="2599">
        <f t="shared" si="8"/>
        <v>1.4999999999999999E-2</v>
      </c>
      <c r="M49" s="2601"/>
      <c r="N49" s="2599"/>
      <c r="O49" s="2603">
        <f t="shared" si="9"/>
        <v>1.4999999999999999E-2</v>
      </c>
      <c r="P49" t="s">
        <v>2628</v>
      </c>
    </row>
    <row r="50" spans="2:16" hidden="1">
      <c r="B50" s="2597"/>
      <c r="C50" s="2270"/>
      <c r="D50" s="2270" t="s">
        <v>2126</v>
      </c>
      <c r="E50" s="2270"/>
      <c r="F50" s="2573">
        <f>F12</f>
        <v>0</v>
      </c>
      <c r="G50" s="2270"/>
      <c r="H50" s="2573">
        <f>IF(OR($F$20=$R$6,$F$20=$U$6),CO2データ!I226,IF($F$20=$S$6,CO2データ!L226,CO2データ!O226))</f>
        <v>0.88800000000000001</v>
      </c>
      <c r="I50" s="2573">
        <f>IF(OR($F$20=$R$6,$F$20=$U$6),CO2データ!J226,IF($F$20=$S$6,CO2データ!M226,CO2データ!P226))</f>
        <v>0</v>
      </c>
      <c r="J50" s="2573">
        <f>IF(OR($F$20=$R$6,$F$20=$U$6),CO2データ!K226,IF($F$20=$S$6,CO2データ!N226,CO2データ!Q226))</f>
        <v>0</v>
      </c>
      <c r="K50" s="2601"/>
      <c r="L50" s="2599">
        <f t="shared" si="8"/>
        <v>0.88800000000000001</v>
      </c>
      <c r="M50" s="2601"/>
      <c r="N50" s="2599"/>
      <c r="O50" s="2603">
        <f t="shared" si="9"/>
        <v>0.88800000000000001</v>
      </c>
      <c r="P50" t="s">
        <v>2104</v>
      </c>
    </row>
    <row r="51" spans="2:16" hidden="1">
      <c r="B51" s="2597"/>
      <c r="C51" s="2270"/>
      <c r="D51" s="2270"/>
      <c r="E51" s="2270"/>
      <c r="F51" s="2573">
        <f>$F$50</f>
        <v>0</v>
      </c>
      <c r="G51" s="2270"/>
      <c r="H51" s="2573">
        <f>IF(OR($F$20=$R$6,$F$20=$U$6),CO2データ!I227,IF($F$20=$S$6,CO2データ!L227,CO2データ!O227))</f>
        <v>0</v>
      </c>
      <c r="I51" s="2573">
        <f>IF(OR($F$20=$R$6,$F$20=$U$6),CO2データ!J227,IF($F$20=$S$6,CO2データ!M227,CO2データ!P227))</f>
        <v>0</v>
      </c>
      <c r="J51" s="2573">
        <f>IF(OR($F$20=$R$6,$F$20=$U$6),CO2データ!K227,IF($F$20=$S$6,CO2データ!N227,CO2データ!Q227))</f>
        <v>0.88800000000000001</v>
      </c>
      <c r="K51" s="2601"/>
      <c r="L51" s="2599">
        <f t="shared" si="8"/>
        <v>0</v>
      </c>
      <c r="M51" s="2601"/>
      <c r="N51" s="2599"/>
      <c r="O51" s="2603">
        <f t="shared" si="9"/>
        <v>0</v>
      </c>
      <c r="P51" t="s">
        <v>2625</v>
      </c>
    </row>
    <row r="52" spans="2:16" hidden="1">
      <c r="B52" s="2597"/>
      <c r="C52" s="2270"/>
      <c r="D52" s="2270"/>
      <c r="E52" s="2270"/>
      <c r="F52" s="2573">
        <f>$F$50</f>
        <v>0</v>
      </c>
      <c r="G52" s="2270"/>
      <c r="H52" s="2573">
        <f>IF(OR($F$20=$R$6,$F$20=$U$6),CO2データ!I228,IF($F$20=$S$6,CO2データ!L228,CO2データ!O228))</f>
        <v>1.7000000000000001E-2</v>
      </c>
      <c r="I52" s="2573">
        <f>IF(OR($F$20=$R$6,$F$20=$U$6),CO2データ!J228,IF($F$20=$S$6,CO2データ!M228,CO2データ!P228))</f>
        <v>0</v>
      </c>
      <c r="J52" s="2573">
        <f>IF(OR($F$20=$R$6,$F$20=$U$6),CO2データ!K228,IF($F$20=$S$6,CO2データ!N228,CO2データ!Q228))</f>
        <v>1.7000000000000001E-2</v>
      </c>
      <c r="K52" s="2601"/>
      <c r="L52" s="2599">
        <f t="shared" si="8"/>
        <v>1.7000000000000001E-2</v>
      </c>
      <c r="M52" s="2601"/>
      <c r="N52" s="2599"/>
      <c r="O52" s="2603">
        <f t="shared" si="9"/>
        <v>1.7000000000000001E-2</v>
      </c>
      <c r="P52" t="s">
        <v>2628</v>
      </c>
    </row>
    <row r="53" spans="2:16" hidden="1">
      <c r="B53" s="2597"/>
      <c r="C53" s="2270"/>
      <c r="D53" s="2270"/>
      <c r="E53" s="2270"/>
      <c r="F53" s="2573">
        <f>$F$50</f>
        <v>0</v>
      </c>
      <c r="G53" s="2270"/>
      <c r="H53" s="2573">
        <f>IF(OR($F$20=$R$6,$F$20=$U$6),CO2データ!I229,IF($F$20=$S$6,CO2データ!L229,CO2データ!O229))</f>
        <v>0</v>
      </c>
      <c r="I53" s="2573">
        <f>IF(OR($F$20=$R$6,$F$20=$U$6),CO2データ!J229,IF($F$20=$S$6,CO2データ!M229,CO2データ!P229))</f>
        <v>0</v>
      </c>
      <c r="J53" s="2573">
        <f>IF(OR($F$20=$R$6,$F$20=$U$6),CO2データ!K229,IF($F$20=$S$6,CO2データ!N229,CO2データ!Q229))</f>
        <v>0</v>
      </c>
      <c r="K53" s="2601"/>
      <c r="L53" s="2599">
        <f t="shared" si="8"/>
        <v>0</v>
      </c>
      <c r="M53" s="2601"/>
      <c r="N53" s="2599"/>
      <c r="O53" s="2603">
        <f t="shared" si="9"/>
        <v>0</v>
      </c>
      <c r="P53" t="s">
        <v>2628</v>
      </c>
    </row>
    <row r="54" spans="2:16" hidden="1">
      <c r="B54" s="2597"/>
      <c r="C54" s="2270"/>
      <c r="D54" s="2270"/>
      <c r="E54" s="2270"/>
      <c r="F54" s="2573">
        <f>$F$50</f>
        <v>0</v>
      </c>
      <c r="G54" s="2270"/>
      <c r="H54" s="2573">
        <f>IF(OR($F$20=$R$6,$F$20=$U$6),CO2データ!I230,IF($F$20=$S$6,CO2データ!L230,CO2データ!O230))</f>
        <v>0.11799999999999999</v>
      </c>
      <c r="I54" s="2573">
        <f>IF(OR($F$20=$R$6,$F$20=$U$6),CO2データ!J230,IF($F$20=$S$6,CO2データ!M230,CO2データ!P230))</f>
        <v>0</v>
      </c>
      <c r="J54" s="2573">
        <f>IF(OR($F$20=$R$6,$F$20=$U$6),CO2データ!K230,IF($F$20=$S$6,CO2データ!N230,CO2データ!Q230))</f>
        <v>0.11799999999999999</v>
      </c>
      <c r="K54" s="2601"/>
      <c r="L54" s="2599">
        <f t="shared" si="8"/>
        <v>0.11799999999999999</v>
      </c>
      <c r="M54" s="2601"/>
      <c r="N54" s="2599"/>
      <c r="O54" s="2603">
        <f t="shared" si="9"/>
        <v>0.11799999999999999</v>
      </c>
      <c r="P54" t="s">
        <v>2628</v>
      </c>
    </row>
    <row r="55" spans="2:16" hidden="1">
      <c r="B55" s="2597"/>
      <c r="C55" s="2270"/>
      <c r="D55" s="2270"/>
      <c r="E55" s="2270"/>
      <c r="F55" s="2573">
        <f>$F$50</f>
        <v>0</v>
      </c>
      <c r="G55" s="2270"/>
      <c r="H55" s="2573">
        <f>IF(OR($F$20=$R$6,$F$20=$U$6),CO2データ!I231,IF($F$20=$S$6,CO2データ!L231,CO2データ!O231))</f>
        <v>1.4999999999999999E-2</v>
      </c>
      <c r="I55" s="2573">
        <f>IF(OR($F$20=$R$6,$F$20=$U$6),CO2データ!J231,IF($F$20=$S$6,CO2データ!M231,CO2データ!P231))</f>
        <v>0</v>
      </c>
      <c r="J55" s="2573">
        <f>IF(OR($F$20=$R$6,$F$20=$U$6),CO2データ!K231,IF($F$20=$S$6,CO2データ!N231,CO2データ!Q231))</f>
        <v>1.4800000000000001E-2</v>
      </c>
      <c r="K55" s="2601"/>
      <c r="L55" s="2599">
        <f t="shared" si="8"/>
        <v>1.4999999999999999E-2</v>
      </c>
      <c r="M55" s="2601"/>
      <c r="N55" s="2599"/>
      <c r="O55" s="2603">
        <f t="shared" si="9"/>
        <v>1.4999999999999999E-2</v>
      </c>
      <c r="P55" t="s">
        <v>2628</v>
      </c>
    </row>
    <row r="56" spans="2:16" hidden="1">
      <c r="B56" s="2597"/>
      <c r="C56" s="2270"/>
      <c r="D56" s="2270" t="s">
        <v>2268</v>
      </c>
      <c r="E56" s="2270"/>
      <c r="F56" s="2573">
        <f>F13</f>
        <v>0</v>
      </c>
      <c r="G56" s="2270"/>
      <c r="H56" s="2573">
        <f>IF(OR($F$20=$R$6,$F$20=$U$6),CO2データ!I232,IF($F$20=$S$6,CO2データ!L232,CO2データ!O232))</f>
        <v>0.88800000000000001</v>
      </c>
      <c r="I56" s="2573">
        <f>IF(OR($F$20=$R$6,$F$20=$U$6),CO2データ!J232,IF($F$20=$S$6,CO2データ!M232,CO2データ!P232))</f>
        <v>0</v>
      </c>
      <c r="J56" s="2573">
        <f>IF(OR($F$20=$R$6,$F$20=$U$6),CO2データ!K232,IF($F$20=$S$6,CO2データ!N232,CO2データ!Q232))</f>
        <v>0</v>
      </c>
      <c r="K56" s="2601"/>
      <c r="L56" s="2599">
        <f t="shared" si="8"/>
        <v>0.88800000000000001</v>
      </c>
      <c r="M56" s="2601"/>
      <c r="N56" s="2599"/>
      <c r="O56" s="2603">
        <f t="shared" si="9"/>
        <v>0.88800000000000001</v>
      </c>
      <c r="P56" t="s">
        <v>2625</v>
      </c>
    </row>
    <row r="57" spans="2:16" hidden="1">
      <c r="B57" s="2597"/>
      <c r="C57" s="2270"/>
      <c r="D57" s="2270"/>
      <c r="E57" s="2270"/>
      <c r="F57" s="2573">
        <f>$F$56</f>
        <v>0</v>
      </c>
      <c r="G57" s="2270"/>
      <c r="H57" s="2573">
        <f>IF(OR($F$20=$R$6,$F$20=$U$6),CO2データ!I233,IF($F$20=$S$6,CO2データ!L233,CO2データ!O233))</f>
        <v>0</v>
      </c>
      <c r="I57" s="2573">
        <f>IF(OR($F$20=$R$6,$F$20=$U$6),CO2データ!J233,IF($F$20=$S$6,CO2データ!M233,CO2データ!P233))</f>
        <v>0</v>
      </c>
      <c r="J57" s="2573">
        <f>IF(OR($F$20=$R$6,$F$20=$U$6),CO2データ!K233,IF($F$20=$S$6,CO2データ!N233,CO2データ!Q233))</f>
        <v>0.88800000000000001</v>
      </c>
      <c r="K57" s="2601"/>
      <c r="L57" s="2599">
        <f t="shared" si="8"/>
        <v>0</v>
      </c>
      <c r="M57" s="2601"/>
      <c r="N57" s="2599"/>
      <c r="O57" s="2603">
        <f t="shared" si="9"/>
        <v>0</v>
      </c>
      <c r="P57" t="s">
        <v>2625</v>
      </c>
    </row>
    <row r="58" spans="2:16" hidden="1">
      <c r="B58" s="2597"/>
      <c r="C58" s="2270"/>
      <c r="D58" s="2270"/>
      <c r="E58" s="2270"/>
      <c r="F58" s="2573">
        <f>$F$56</f>
        <v>0</v>
      </c>
      <c r="G58" s="2270"/>
      <c r="H58" s="2573">
        <f>IF(OR($F$20=$R$6,$F$20=$U$6),CO2データ!I234,IF($F$20=$S$6,CO2データ!L234,CO2データ!O234))</f>
        <v>1.7000000000000001E-2</v>
      </c>
      <c r="I58" s="2573">
        <f>IF(OR($F$20=$R$6,$F$20=$U$6),CO2データ!J234,IF($F$20=$S$6,CO2データ!M234,CO2データ!P234))</f>
        <v>0</v>
      </c>
      <c r="J58" s="2573">
        <f>IF(OR($F$20=$R$6,$F$20=$U$6),CO2データ!K234,IF($F$20=$S$6,CO2データ!N234,CO2データ!Q234))</f>
        <v>1.7000000000000001E-2</v>
      </c>
      <c r="K58" s="2601"/>
      <c r="L58" s="2599">
        <f t="shared" si="8"/>
        <v>1.7000000000000001E-2</v>
      </c>
      <c r="M58" s="2601"/>
      <c r="N58" s="2599"/>
      <c r="O58" s="2603">
        <f t="shared" si="9"/>
        <v>1.7000000000000001E-2</v>
      </c>
      <c r="P58" t="s">
        <v>2628</v>
      </c>
    </row>
    <row r="59" spans="2:16" hidden="1">
      <c r="B59" s="2597"/>
      <c r="C59" s="2270"/>
      <c r="D59" s="2270"/>
      <c r="E59" s="2270"/>
      <c r="F59" s="2573">
        <f>$F$56</f>
        <v>0</v>
      </c>
      <c r="G59" s="2270"/>
      <c r="H59" s="2573">
        <f>IF(OR($F$20=$R$6,$F$20=$U$6),CO2データ!I235,IF($F$20=$S$6,CO2データ!L235,CO2データ!O235))</f>
        <v>0</v>
      </c>
      <c r="I59" s="2573">
        <f>IF(OR($F$20=$R$6,$F$20=$U$6),CO2データ!J235,IF($F$20=$S$6,CO2データ!M235,CO2データ!P235))</f>
        <v>0</v>
      </c>
      <c r="J59" s="2573">
        <f>IF(OR($F$20=$R$6,$F$20=$U$6),CO2データ!K235,IF($F$20=$S$6,CO2データ!N235,CO2データ!Q235))</f>
        <v>0</v>
      </c>
      <c r="K59" s="2601"/>
      <c r="L59" s="2599">
        <f t="shared" si="8"/>
        <v>0</v>
      </c>
      <c r="M59" s="2601"/>
      <c r="N59" s="2599"/>
      <c r="O59" s="2603">
        <f t="shared" si="9"/>
        <v>0</v>
      </c>
      <c r="P59" t="s">
        <v>2628</v>
      </c>
    </row>
    <row r="60" spans="2:16" hidden="1">
      <c r="B60" s="2597"/>
      <c r="C60" s="2270"/>
      <c r="D60" s="2270"/>
      <c r="E60" s="2270"/>
      <c r="F60" s="2573">
        <f>$F$56</f>
        <v>0</v>
      </c>
      <c r="G60" s="2270"/>
      <c r="H60" s="2573">
        <f>IF(OR($F$20=$R$6,$F$20=$U$6),CO2データ!I236,IF($F$20=$S$6,CO2データ!L236,CO2データ!O236))</f>
        <v>0.11799999999999999</v>
      </c>
      <c r="I60" s="2573">
        <f>IF(OR($F$20=$R$6,$F$20=$U$6),CO2データ!J236,IF($F$20=$S$6,CO2データ!M236,CO2データ!P236))</f>
        <v>0</v>
      </c>
      <c r="J60" s="2573">
        <f>IF(OR($F$20=$R$6,$F$20=$U$6),CO2データ!K236,IF($F$20=$S$6,CO2データ!N236,CO2データ!Q236))</f>
        <v>0.11799999999999999</v>
      </c>
      <c r="K60" s="2601"/>
      <c r="L60" s="2599">
        <f t="shared" si="8"/>
        <v>0.11799999999999999</v>
      </c>
      <c r="M60" s="2601"/>
      <c r="N60" s="2599"/>
      <c r="O60" s="2603">
        <f t="shared" si="9"/>
        <v>0.11799999999999999</v>
      </c>
      <c r="P60" t="s">
        <v>2628</v>
      </c>
    </row>
    <row r="61" spans="2:16" hidden="1">
      <c r="B61" s="2597"/>
      <c r="C61" s="2270"/>
      <c r="D61" s="2270"/>
      <c r="E61" s="2270"/>
      <c r="F61" s="2573">
        <f>$F$56</f>
        <v>0</v>
      </c>
      <c r="G61" s="2270"/>
      <c r="H61" s="2573">
        <f>IF(OR($F$20=$R$6,$F$20=$U$6),CO2データ!I237,IF($F$20=$S$6,CO2データ!L237,CO2データ!O237))</f>
        <v>1.4999999999999999E-2</v>
      </c>
      <c r="I61" s="2573">
        <f>IF(OR($F$20=$R$6,$F$20=$U$6),CO2データ!J237,IF($F$20=$S$6,CO2データ!M237,CO2データ!P237))</f>
        <v>0</v>
      </c>
      <c r="J61" s="2573">
        <f>IF(OR($F$20=$R$6,$F$20=$U$6),CO2データ!K237,IF($F$20=$S$6,CO2データ!N237,CO2データ!Q237))</f>
        <v>1.4800000000000001E-2</v>
      </c>
      <c r="K61" s="2601"/>
      <c r="L61" s="2599">
        <f t="shared" si="8"/>
        <v>1.4999999999999999E-2</v>
      </c>
      <c r="M61" s="2601"/>
      <c r="N61" s="2599"/>
      <c r="O61" s="2603">
        <f t="shared" si="9"/>
        <v>1.4999999999999999E-2</v>
      </c>
      <c r="P61" t="s">
        <v>2628</v>
      </c>
    </row>
    <row r="62" spans="2:16" hidden="1">
      <c r="B62" s="2597"/>
      <c r="C62" s="2270"/>
      <c r="D62" s="2270" t="s">
        <v>2128</v>
      </c>
      <c r="E62" s="2270"/>
      <c r="F62" s="2573">
        <f>F14</f>
        <v>0</v>
      </c>
      <c r="G62" s="2270"/>
      <c r="H62" s="2573">
        <f>IF(OR($F$20=$R$6,$F$20=$U$6),CO2データ!I238,IF($F$20=$S$6,CO2データ!L238,CO2データ!O238))</f>
        <v>0.88800000000000001</v>
      </c>
      <c r="I62" s="2573">
        <f>IF(OR($F$20=$R$6,$F$20=$U$6),CO2データ!J238,IF($F$20=$S$6,CO2データ!M238,CO2データ!P238))</f>
        <v>0</v>
      </c>
      <c r="J62" s="2573">
        <f>IF(OR($F$20=$R$6,$F$20=$U$6),CO2データ!K238,IF($F$20=$S$6,CO2データ!N238,CO2データ!Q238))</f>
        <v>0</v>
      </c>
      <c r="K62" s="2601"/>
      <c r="L62" s="2599">
        <f t="shared" si="8"/>
        <v>0.88800000000000001</v>
      </c>
      <c r="M62" s="2601"/>
      <c r="N62" s="2599"/>
      <c r="O62" s="2603">
        <f t="shared" si="9"/>
        <v>0.88800000000000001</v>
      </c>
      <c r="P62" t="s">
        <v>2625</v>
      </c>
    </row>
    <row r="63" spans="2:16" hidden="1">
      <c r="B63" s="2597"/>
      <c r="C63" s="2270"/>
      <c r="D63" s="2270"/>
      <c r="E63" s="2270"/>
      <c r="F63" s="2573">
        <f>$F$62</f>
        <v>0</v>
      </c>
      <c r="G63" s="2270"/>
      <c r="H63" s="2573">
        <f>IF(OR($F$20=$R$6,$F$20=$U$6),CO2データ!I239,IF($F$20=$S$6,CO2データ!L239,CO2データ!O239))</f>
        <v>0</v>
      </c>
      <c r="I63" s="2573">
        <f>IF(OR($F$20=$R$6,$F$20=$U$6),CO2データ!J239,IF($F$20=$S$6,CO2データ!M239,CO2データ!P239))</f>
        <v>0</v>
      </c>
      <c r="J63" s="2573">
        <f>IF(OR($F$20=$R$6,$F$20=$U$6),CO2データ!K239,IF($F$20=$S$6,CO2データ!N239,CO2データ!Q239))</f>
        <v>0.88800000000000001</v>
      </c>
      <c r="K63" s="2601"/>
      <c r="L63" s="2599">
        <f t="shared" si="8"/>
        <v>0</v>
      </c>
      <c r="M63" s="2601"/>
      <c r="N63" s="2599"/>
      <c r="O63" s="2603">
        <f t="shared" si="9"/>
        <v>0</v>
      </c>
      <c r="P63" t="s">
        <v>2625</v>
      </c>
    </row>
    <row r="64" spans="2:16" hidden="1">
      <c r="B64" s="2597"/>
      <c r="C64" s="2270"/>
      <c r="D64" s="2270"/>
      <c r="E64" s="2270"/>
      <c r="F64" s="2573">
        <f>$F$62</f>
        <v>0</v>
      </c>
      <c r="G64" s="2270"/>
      <c r="H64" s="2573">
        <f>IF(OR($F$20=$R$6,$F$20=$U$6),CO2データ!I240,IF($F$20=$S$6,CO2データ!L240,CO2データ!O240))</f>
        <v>1.7000000000000001E-2</v>
      </c>
      <c r="I64" s="2573">
        <f>IF(OR($F$20=$R$6,$F$20=$U$6),CO2データ!J240,IF($F$20=$S$6,CO2データ!M240,CO2データ!P240))</f>
        <v>0</v>
      </c>
      <c r="J64" s="2573">
        <f>IF(OR($F$20=$R$6,$F$20=$U$6),CO2データ!K240,IF($F$20=$S$6,CO2データ!N240,CO2データ!Q240))</f>
        <v>1.7000000000000001E-2</v>
      </c>
      <c r="K64" s="2601"/>
      <c r="L64" s="2599">
        <f t="shared" si="8"/>
        <v>1.7000000000000001E-2</v>
      </c>
      <c r="M64" s="2601"/>
      <c r="N64" s="2599"/>
      <c r="O64" s="2603">
        <f t="shared" si="9"/>
        <v>1.7000000000000001E-2</v>
      </c>
      <c r="P64" t="s">
        <v>2628</v>
      </c>
    </row>
    <row r="65" spans="2:16" hidden="1">
      <c r="B65" s="2597"/>
      <c r="C65" s="2270"/>
      <c r="D65" s="2270"/>
      <c r="E65" s="2270"/>
      <c r="F65" s="2573">
        <f>$F$62</f>
        <v>0</v>
      </c>
      <c r="G65" s="2270"/>
      <c r="H65" s="2573">
        <f>IF(OR($F$20=$R$6,$F$20=$U$6),CO2データ!I241,IF($F$20=$S$6,CO2データ!L241,CO2データ!O241))</f>
        <v>0</v>
      </c>
      <c r="I65" s="2573">
        <f>IF(OR($F$20=$R$6,$F$20=$U$6),CO2データ!J241,IF($F$20=$S$6,CO2データ!M241,CO2データ!P241))</f>
        <v>0</v>
      </c>
      <c r="J65" s="2573">
        <f>IF(OR($F$20=$R$6,$F$20=$U$6),CO2データ!K241,IF($F$20=$S$6,CO2データ!N241,CO2データ!Q241))</f>
        <v>0</v>
      </c>
      <c r="K65" s="2601"/>
      <c r="L65" s="2599">
        <f t="shared" si="8"/>
        <v>0</v>
      </c>
      <c r="M65" s="2601"/>
      <c r="N65" s="2599"/>
      <c r="O65" s="2603">
        <f t="shared" si="9"/>
        <v>0</v>
      </c>
      <c r="P65" t="s">
        <v>2628</v>
      </c>
    </row>
    <row r="66" spans="2:16" hidden="1">
      <c r="B66" s="2597"/>
      <c r="C66" s="2270"/>
      <c r="D66" s="2270"/>
      <c r="E66" s="2270"/>
      <c r="F66" s="2573">
        <f>$F$62</f>
        <v>0</v>
      </c>
      <c r="G66" s="2270"/>
      <c r="H66" s="2573">
        <f>IF(OR($F$20=$R$6,$F$20=$U$6),CO2データ!I242,IF($F$20=$S$6,CO2データ!L242,CO2データ!O242))</f>
        <v>0.11799999999999999</v>
      </c>
      <c r="I66" s="2573">
        <f>IF(OR($F$20=$R$6,$F$20=$U$6),CO2データ!J242,IF($F$20=$S$6,CO2データ!M242,CO2データ!P242))</f>
        <v>0</v>
      </c>
      <c r="J66" s="2573">
        <f>IF(OR($F$20=$R$6,$F$20=$U$6),CO2データ!K242,IF($F$20=$S$6,CO2データ!N242,CO2データ!Q242))</f>
        <v>0.11799999999999999</v>
      </c>
      <c r="K66" s="2601"/>
      <c r="L66" s="2599">
        <f t="shared" si="8"/>
        <v>0.11799999999999999</v>
      </c>
      <c r="M66" s="2601"/>
      <c r="N66" s="2599"/>
      <c r="O66" s="2603">
        <f t="shared" si="9"/>
        <v>0.11799999999999999</v>
      </c>
      <c r="P66" t="s">
        <v>2628</v>
      </c>
    </row>
    <row r="67" spans="2:16" hidden="1">
      <c r="B67" s="2597"/>
      <c r="C67" s="2270"/>
      <c r="D67" s="2270"/>
      <c r="E67" s="2270"/>
      <c r="F67" s="2573">
        <f>$F$62</f>
        <v>0</v>
      </c>
      <c r="G67" s="2270"/>
      <c r="H67" s="2573">
        <f>IF(OR($F$20=$R$6,$F$20=$U$6),CO2データ!I243,IF($F$20=$S$6,CO2データ!L243,CO2データ!O243))</f>
        <v>1.4999999999999999E-2</v>
      </c>
      <c r="I67" s="2573">
        <f>IF(OR($F$20=$R$6,$F$20=$U$6),CO2データ!J243,IF($F$20=$S$6,CO2データ!M243,CO2データ!P243))</f>
        <v>0</v>
      </c>
      <c r="J67" s="2573">
        <f>IF(OR($F$20=$R$6,$F$20=$U$6),CO2データ!K243,IF($F$20=$S$6,CO2データ!N243,CO2データ!Q243))</f>
        <v>1.4800000000000001E-2</v>
      </c>
      <c r="K67" s="2601"/>
      <c r="L67" s="2599">
        <f t="shared" si="8"/>
        <v>1.4999999999999999E-2</v>
      </c>
      <c r="M67" s="2601"/>
      <c r="N67" s="2599"/>
      <c r="O67" s="2603">
        <f t="shared" si="9"/>
        <v>1.4999999999999999E-2</v>
      </c>
      <c r="P67" t="s">
        <v>2628</v>
      </c>
    </row>
    <row r="68" spans="2:16" hidden="1">
      <c r="B68" s="2597"/>
      <c r="C68" s="2270"/>
      <c r="D68" s="2270" t="s">
        <v>528</v>
      </c>
      <c r="E68" s="2270"/>
      <c r="F68" s="2573">
        <f>F15</f>
        <v>0</v>
      </c>
      <c r="G68" s="2270"/>
      <c r="H68" s="2573">
        <f>IF(OR($F$20=$R$6,$F$20=$U$6),CO2データ!I244,IF($F$20=$S$6,CO2データ!L244,CO2データ!O244))</f>
        <v>0.77</v>
      </c>
      <c r="I68" s="2573">
        <f>IF(OR($F$20=$R$6,$F$20=$U$6),CO2データ!J244,IF($F$20=$S$6,CO2データ!M244,CO2データ!P244))</f>
        <v>0</v>
      </c>
      <c r="J68" s="2573">
        <f>IF(OR($F$20=$R$6,$F$20=$U$6),CO2データ!K244,IF($F$20=$S$6,CO2データ!N244,CO2データ!Q244))</f>
        <v>0</v>
      </c>
      <c r="K68" s="2601"/>
      <c r="L68" s="2599">
        <f t="shared" si="8"/>
        <v>0.77</v>
      </c>
      <c r="M68" s="2601"/>
      <c r="N68" s="2599"/>
      <c r="O68" s="2603">
        <f t="shared" si="9"/>
        <v>0.77</v>
      </c>
      <c r="P68" t="s">
        <v>2625</v>
      </c>
    </row>
    <row r="69" spans="2:16" hidden="1">
      <c r="B69" s="2597"/>
      <c r="C69" s="2270"/>
      <c r="D69" s="2270"/>
      <c r="E69" s="2270"/>
      <c r="F69" s="2573">
        <f>$F$68</f>
        <v>0</v>
      </c>
      <c r="G69" s="2270"/>
      <c r="H69" s="2573">
        <f>IF(OR($F$20=$R$6,$F$20=$U$6),CO2データ!I245,IF($F$20=$S$6,CO2データ!L245,CO2データ!O245))</f>
        <v>0</v>
      </c>
      <c r="I69" s="2573">
        <f>IF(OR($F$20=$R$6,$F$20=$U$6),CO2データ!J245,IF($F$20=$S$6,CO2データ!M245,CO2データ!P245))</f>
        <v>0</v>
      </c>
      <c r="J69" s="2573">
        <f>IF(OR($F$20=$R$6,$F$20=$U$6),CO2データ!K245,IF($F$20=$S$6,CO2データ!N245,CO2データ!Q245))</f>
        <v>0.77</v>
      </c>
      <c r="K69" s="2601"/>
      <c r="L69" s="2599">
        <f t="shared" si="8"/>
        <v>0</v>
      </c>
      <c r="M69" s="2601"/>
      <c r="N69" s="2599"/>
      <c r="O69" s="2603">
        <f t="shared" si="9"/>
        <v>0</v>
      </c>
      <c r="P69" t="s">
        <v>2625</v>
      </c>
    </row>
    <row r="70" spans="2:16" hidden="1">
      <c r="B70" s="2597"/>
      <c r="C70" s="2270"/>
      <c r="D70" s="2270"/>
      <c r="E70" s="2270"/>
      <c r="F70" s="2573">
        <f>$F$68</f>
        <v>0</v>
      </c>
      <c r="G70" s="2270"/>
      <c r="H70" s="2573">
        <f>IF(OR($F$20=$R$6,$F$20=$U$6),CO2データ!I246,IF($F$20=$S$6,CO2データ!L246,CO2データ!O246))</f>
        <v>0.01</v>
      </c>
      <c r="I70" s="2573">
        <f>IF(OR($F$20=$R$6,$F$20=$U$6),CO2データ!J246,IF($F$20=$S$6,CO2データ!M246,CO2データ!P246))</f>
        <v>0</v>
      </c>
      <c r="J70" s="2573">
        <f>IF(OR($F$20=$R$6,$F$20=$U$6),CO2データ!K246,IF($F$20=$S$6,CO2データ!N246,CO2データ!Q246))</f>
        <v>0.01</v>
      </c>
      <c r="K70" s="2601"/>
      <c r="L70" s="2599">
        <f t="shared" ref="L70:L91" si="10">H70-(H70-I70)*$F$21-(H70-J70)*$F$22</f>
        <v>0.01</v>
      </c>
      <c r="M70" s="2601"/>
      <c r="N70" s="2599"/>
      <c r="O70" s="2603">
        <f t="shared" ref="O70:O91" si="11">H70</f>
        <v>0.01</v>
      </c>
      <c r="P70" t="s">
        <v>2628</v>
      </c>
    </row>
    <row r="71" spans="2:16" hidden="1">
      <c r="B71" s="2597"/>
      <c r="C71" s="2270"/>
      <c r="D71" s="2270"/>
      <c r="E71" s="2270"/>
      <c r="F71" s="2573">
        <f>$F$68</f>
        <v>0</v>
      </c>
      <c r="G71" s="2270"/>
      <c r="H71" s="2573">
        <f>IF(OR($F$20=$R$6,$F$20=$U$6),CO2データ!I247,IF($F$20=$S$6,CO2データ!L247,CO2データ!O247))</f>
        <v>0</v>
      </c>
      <c r="I71" s="2573">
        <f>IF(OR($F$20=$R$6,$F$20=$U$6),CO2データ!J247,IF($F$20=$S$6,CO2データ!M247,CO2データ!P247))</f>
        <v>0</v>
      </c>
      <c r="J71" s="2573">
        <f>IF(OR($F$20=$R$6,$F$20=$U$6),CO2データ!K247,IF($F$20=$S$6,CO2データ!N247,CO2データ!Q247))</f>
        <v>0</v>
      </c>
      <c r="K71" s="2601"/>
      <c r="L71" s="2599">
        <f t="shared" si="10"/>
        <v>0</v>
      </c>
      <c r="M71" s="2601"/>
      <c r="N71" s="2599"/>
      <c r="O71" s="2603">
        <f t="shared" si="11"/>
        <v>0</v>
      </c>
      <c r="P71" t="s">
        <v>2628</v>
      </c>
    </row>
    <row r="72" spans="2:16" hidden="1">
      <c r="B72" s="2597"/>
      <c r="C72" s="2270"/>
      <c r="D72" s="2270"/>
      <c r="E72" s="2270"/>
      <c r="F72" s="2573">
        <f>$F$68</f>
        <v>0</v>
      </c>
      <c r="G72" s="2270"/>
      <c r="H72" s="2573">
        <f>IF(OR($F$20=$R$6,$F$20=$U$6),CO2データ!I248,IF($F$20=$S$6,CO2データ!L248,CO2データ!O248))</f>
        <v>0.108</v>
      </c>
      <c r="I72" s="2573">
        <f>IF(OR($F$20=$R$6,$F$20=$U$6),CO2データ!J248,IF($F$20=$S$6,CO2データ!M248,CO2データ!P248))</f>
        <v>0</v>
      </c>
      <c r="J72" s="2573">
        <f>IF(OR($F$20=$R$6,$F$20=$U$6),CO2データ!K248,IF($F$20=$S$6,CO2データ!N248,CO2データ!Q248))</f>
        <v>0.108</v>
      </c>
      <c r="K72" s="2601"/>
      <c r="L72" s="2599">
        <f t="shared" si="10"/>
        <v>0.108</v>
      </c>
      <c r="M72" s="2601"/>
      <c r="N72" s="2599"/>
      <c r="O72" s="2603">
        <f t="shared" si="11"/>
        <v>0.108</v>
      </c>
      <c r="P72" t="s">
        <v>2628</v>
      </c>
    </row>
    <row r="73" spans="2:16" hidden="1">
      <c r="B73" s="2597"/>
      <c r="C73" s="2270"/>
      <c r="D73" s="2270"/>
      <c r="E73" s="2270"/>
      <c r="F73" s="2573">
        <f>$F$68</f>
        <v>0</v>
      </c>
      <c r="G73" s="2270"/>
      <c r="H73" s="2573">
        <f>IF(OR($F$20=$R$6,$F$20=$U$6),CO2データ!I249,IF($F$20=$S$6,CO2データ!L249,CO2データ!O249))</f>
        <v>8.9999999999999993E-3</v>
      </c>
      <c r="I73" s="2573">
        <f>IF(OR($F$20=$R$6,$F$20=$U$6),CO2データ!J249,IF($F$20=$S$6,CO2データ!M249,CO2データ!P249))</f>
        <v>0</v>
      </c>
      <c r="J73" s="2573">
        <f>IF(OR($F$20=$R$6,$F$20=$U$6),CO2データ!K249,IF($F$20=$S$6,CO2データ!N249,CO2データ!Q249))</f>
        <v>9.1500000000000001E-3</v>
      </c>
      <c r="K73" s="2601"/>
      <c r="L73" s="2599">
        <f t="shared" si="10"/>
        <v>8.9999999999999993E-3</v>
      </c>
      <c r="M73" s="2601"/>
      <c r="N73" s="2599"/>
      <c r="O73" s="2603">
        <f t="shared" si="11"/>
        <v>8.9999999999999993E-3</v>
      </c>
      <c r="P73" t="s">
        <v>2628</v>
      </c>
    </row>
    <row r="74" spans="2:16" hidden="1">
      <c r="B74" s="2597"/>
      <c r="C74" s="2270"/>
      <c r="D74" s="2270" t="s">
        <v>2130</v>
      </c>
      <c r="E74" s="2270"/>
      <c r="F74" s="2573">
        <f>F16</f>
        <v>0</v>
      </c>
      <c r="G74" s="2270"/>
      <c r="H74" s="2573">
        <f>IF(OR($F$20=$R$6,$F$20=$U$6),CO2データ!I250,IF($F$20=$S$6,CO2データ!L250,CO2データ!O250))</f>
        <v>0.76600000000000001</v>
      </c>
      <c r="I74" s="2573">
        <f>IF(OR($F$20=$R$6,$F$20=$U$6),CO2データ!J250,IF($F$20=$S$6,CO2データ!M250,CO2データ!P250))</f>
        <v>0</v>
      </c>
      <c r="J74" s="2573">
        <f>IF(OR($F$20=$R$6,$F$20=$U$6),CO2データ!K250,IF($F$20=$S$6,CO2データ!N250,CO2データ!Q250))</f>
        <v>0</v>
      </c>
      <c r="K74" s="2601"/>
      <c r="L74" s="2599">
        <f t="shared" si="10"/>
        <v>0.76600000000000001</v>
      </c>
      <c r="M74" s="2601"/>
      <c r="N74" s="2599"/>
      <c r="O74" s="2603">
        <f t="shared" si="11"/>
        <v>0.76600000000000001</v>
      </c>
      <c r="P74" t="s">
        <v>2625</v>
      </c>
    </row>
    <row r="75" spans="2:16" hidden="1">
      <c r="B75" s="2597"/>
      <c r="C75" s="2270"/>
      <c r="D75" s="2270"/>
      <c r="E75" s="2270"/>
      <c r="F75" s="2573">
        <f>$F$74</f>
        <v>0</v>
      </c>
      <c r="G75" s="2270"/>
      <c r="H75" s="2573">
        <f>IF(OR($F$20=$R$6,$F$20=$U$6),CO2データ!I251,IF($F$20=$S$6,CO2データ!L251,CO2データ!O251))</f>
        <v>0</v>
      </c>
      <c r="I75" s="2573">
        <f>IF(OR($F$20=$R$6,$F$20=$U$6),CO2データ!J251,IF($F$20=$S$6,CO2データ!M251,CO2データ!P251))</f>
        <v>0</v>
      </c>
      <c r="J75" s="2573">
        <f>IF(OR($F$20=$R$6,$F$20=$U$6),CO2データ!K251,IF($F$20=$S$6,CO2データ!N251,CO2データ!Q251))</f>
        <v>0.76600000000000001</v>
      </c>
      <c r="K75" s="2601"/>
      <c r="L75" s="2599">
        <f t="shared" si="10"/>
        <v>0</v>
      </c>
      <c r="M75" s="2601"/>
      <c r="N75" s="2599"/>
      <c r="O75" s="2603">
        <f t="shared" si="11"/>
        <v>0</v>
      </c>
      <c r="P75" t="s">
        <v>2625</v>
      </c>
    </row>
    <row r="76" spans="2:16" hidden="1">
      <c r="B76" s="2597"/>
      <c r="C76" s="2270"/>
      <c r="D76" s="2270"/>
      <c r="E76" s="2270"/>
      <c r="F76" s="2573">
        <f>$F$74</f>
        <v>0</v>
      </c>
      <c r="G76" s="2270"/>
      <c r="H76" s="2573">
        <f>IF(OR($F$20=$R$6,$F$20=$U$6),CO2データ!I252,IF($F$20=$S$6,CO2データ!L252,CO2データ!O252))</f>
        <v>1.2E-2</v>
      </c>
      <c r="I76" s="2573">
        <f>IF(OR($F$20=$R$6,$F$20=$U$6),CO2データ!J252,IF($F$20=$S$6,CO2データ!M252,CO2データ!P252))</f>
        <v>0</v>
      </c>
      <c r="J76" s="2573">
        <f>IF(OR($F$20=$R$6,$F$20=$U$6),CO2データ!K252,IF($F$20=$S$6,CO2データ!N252,CO2データ!Q252))</f>
        <v>1.2E-2</v>
      </c>
      <c r="K76" s="2601"/>
      <c r="L76" s="2599">
        <f t="shared" si="10"/>
        <v>1.2E-2</v>
      </c>
      <c r="M76" s="2601"/>
      <c r="N76" s="2599"/>
      <c r="O76" s="2603">
        <f t="shared" si="11"/>
        <v>1.2E-2</v>
      </c>
      <c r="P76" t="s">
        <v>2628</v>
      </c>
    </row>
    <row r="77" spans="2:16" hidden="1">
      <c r="B77" s="2597"/>
      <c r="C77" s="2270"/>
      <c r="D77" s="2270"/>
      <c r="E77" s="2270"/>
      <c r="F77" s="2573">
        <f>$F$74</f>
        <v>0</v>
      </c>
      <c r="G77" s="2270"/>
      <c r="H77" s="2573">
        <f>IF(OR($F$20=$R$6,$F$20=$U$6),CO2データ!I253,IF($F$20=$S$6,CO2データ!L253,CO2データ!O253))</f>
        <v>0</v>
      </c>
      <c r="I77" s="2573">
        <f>IF(OR($F$20=$R$6,$F$20=$U$6),CO2データ!J253,IF($F$20=$S$6,CO2データ!M253,CO2データ!P253))</f>
        <v>0</v>
      </c>
      <c r="J77" s="2573">
        <f>IF(OR($F$20=$R$6,$F$20=$U$6),CO2データ!K253,IF($F$20=$S$6,CO2データ!N253,CO2データ!Q253))</f>
        <v>0</v>
      </c>
      <c r="K77" s="2601"/>
      <c r="L77" s="2599">
        <f t="shared" si="10"/>
        <v>0</v>
      </c>
      <c r="M77" s="2601"/>
      <c r="N77" s="2599"/>
      <c r="O77" s="2603">
        <f t="shared" si="11"/>
        <v>0</v>
      </c>
      <c r="P77" t="s">
        <v>2628</v>
      </c>
    </row>
    <row r="78" spans="2:16" hidden="1">
      <c r="B78" s="2597"/>
      <c r="C78" s="2270"/>
      <c r="D78" s="2270"/>
      <c r="E78" s="2270"/>
      <c r="F78" s="2573">
        <f>$F$74</f>
        <v>0</v>
      </c>
      <c r="G78" s="2270"/>
      <c r="H78" s="2573">
        <f>IF(OR($F$20=$R$6,$F$20=$U$6),CO2データ!I254,IF($F$20=$S$6,CO2データ!L254,CO2データ!O254))</f>
        <v>9.6000000000000002E-2</v>
      </c>
      <c r="I78" s="2573">
        <f>IF(OR($F$20=$R$6,$F$20=$U$6),CO2データ!J254,IF($F$20=$S$6,CO2データ!M254,CO2データ!P254))</f>
        <v>0</v>
      </c>
      <c r="J78" s="2573">
        <f>IF(OR($F$20=$R$6,$F$20=$U$6),CO2データ!K254,IF($F$20=$S$6,CO2データ!N254,CO2データ!Q254))</f>
        <v>9.6000000000000002E-2</v>
      </c>
      <c r="K78" s="2601"/>
      <c r="L78" s="2599">
        <f t="shared" si="10"/>
        <v>9.6000000000000002E-2</v>
      </c>
      <c r="M78" s="2601"/>
      <c r="N78" s="2599"/>
      <c r="O78" s="2603">
        <f t="shared" si="11"/>
        <v>9.6000000000000002E-2</v>
      </c>
      <c r="P78" t="s">
        <v>2628</v>
      </c>
    </row>
    <row r="79" spans="2:16" hidden="1">
      <c r="B79" s="2597"/>
      <c r="C79" s="2270"/>
      <c r="D79" s="2270"/>
      <c r="E79" s="2270"/>
      <c r="F79" s="2573">
        <f>$F$74</f>
        <v>0</v>
      </c>
      <c r="G79" s="2270"/>
      <c r="H79" s="2573">
        <f>IF(OR($F$20=$R$6,$F$20=$U$6),CO2データ!I255,IF($F$20=$S$6,CO2データ!L255,CO2データ!O255))</f>
        <v>1.2999999999999999E-2</v>
      </c>
      <c r="I79" s="2573">
        <f>IF(OR($F$20=$R$6,$F$20=$U$6),CO2データ!J255,IF($F$20=$S$6,CO2データ!M255,CO2データ!P255))</f>
        <v>0</v>
      </c>
      <c r="J79" s="2573">
        <f>IF(OR($F$20=$R$6,$F$20=$U$6),CO2データ!K255,IF($F$20=$S$6,CO2データ!N255,CO2データ!Q255))</f>
        <v>1.2999999999999999E-2</v>
      </c>
      <c r="K79" s="2601"/>
      <c r="L79" s="2599">
        <f t="shared" si="10"/>
        <v>1.2999999999999999E-2</v>
      </c>
      <c r="M79" s="2601"/>
      <c r="N79" s="2599"/>
      <c r="O79" s="2603">
        <f t="shared" si="11"/>
        <v>1.2999999999999999E-2</v>
      </c>
      <c r="P79" t="s">
        <v>2628</v>
      </c>
    </row>
    <row r="80" spans="2:16" hidden="1">
      <c r="B80" s="2597"/>
      <c r="C80" s="2270"/>
      <c r="D80" s="2270" t="s">
        <v>765</v>
      </c>
      <c r="E80" s="2270"/>
      <c r="F80" s="2573">
        <f>F17</f>
        <v>0</v>
      </c>
      <c r="G80" s="2270"/>
      <c r="H80" s="2573">
        <f>IF(OR($F$20=$R$6,$F$20=$U$6),CO2データ!I256,IF($F$20=$S$6,CO2データ!L256,CO2データ!O256))</f>
        <v>0.999</v>
      </c>
      <c r="I80" s="2573">
        <f>IF(OR($F$20=$R$6,$F$20=$U$6),CO2データ!J256,IF($F$20=$S$6,CO2データ!M256,CO2データ!P256))</f>
        <v>0</v>
      </c>
      <c r="J80" s="2573">
        <f>IF(OR($F$20=$R$6,$F$20=$U$6),CO2データ!K256,IF($F$20=$S$6,CO2データ!N256,CO2データ!Q256))</f>
        <v>0</v>
      </c>
      <c r="K80" s="2601"/>
      <c r="L80" s="2599">
        <f t="shared" si="10"/>
        <v>0.999</v>
      </c>
      <c r="M80" s="2601"/>
      <c r="N80" s="2599"/>
      <c r="O80" s="2603">
        <f t="shared" si="11"/>
        <v>0.999</v>
      </c>
      <c r="P80" t="s">
        <v>2625</v>
      </c>
    </row>
    <row r="81" spans="2:16" hidden="1">
      <c r="B81" s="2597"/>
      <c r="C81" s="2270"/>
      <c r="D81" s="2270"/>
      <c r="E81" s="2270"/>
      <c r="F81" s="2573">
        <f>$F$80</f>
        <v>0</v>
      </c>
      <c r="G81" s="2270"/>
      <c r="H81" s="2573">
        <f>IF(OR($F$20=$R$6,$F$20=$U$6),CO2データ!I257,IF($F$20=$S$6,CO2データ!L257,CO2データ!O257))</f>
        <v>0</v>
      </c>
      <c r="I81" s="2573">
        <f>IF(OR($F$20=$R$6,$F$20=$U$6),CO2データ!J257,IF($F$20=$S$6,CO2データ!M257,CO2データ!P257))</f>
        <v>0</v>
      </c>
      <c r="J81" s="2573">
        <f>IF(OR($F$20=$R$6,$F$20=$U$6),CO2データ!K257,IF($F$20=$S$6,CO2データ!N257,CO2データ!Q257))</f>
        <v>0.999</v>
      </c>
      <c r="K81" s="2601"/>
      <c r="L81" s="2599">
        <f t="shared" si="10"/>
        <v>0</v>
      </c>
      <c r="M81" s="2601"/>
      <c r="N81" s="2599"/>
      <c r="O81" s="2603">
        <f t="shared" si="11"/>
        <v>0</v>
      </c>
      <c r="P81" t="s">
        <v>2625</v>
      </c>
    </row>
    <row r="82" spans="2:16" hidden="1">
      <c r="B82" s="2597"/>
      <c r="C82" s="2270"/>
      <c r="D82" s="2270"/>
      <c r="E82" s="2270"/>
      <c r="F82" s="2573">
        <f>$F$80</f>
        <v>0</v>
      </c>
      <c r="G82" s="2270"/>
      <c r="H82" s="2573">
        <f>IF(OR($F$20=$R$6,$F$20=$U$6),CO2データ!I258,IF($F$20=$S$6,CO2データ!L258,CO2データ!O258))</f>
        <v>4.0000000000000001E-3</v>
      </c>
      <c r="I82" s="2573">
        <f>IF(OR($F$20=$R$6,$F$20=$U$6),CO2データ!J258,IF($F$20=$S$6,CO2データ!M258,CO2データ!P258))</f>
        <v>0</v>
      </c>
      <c r="J82" s="2573">
        <f>IF(OR($F$20=$R$6,$F$20=$U$6),CO2データ!K258,IF($F$20=$S$6,CO2データ!N258,CO2データ!Q258))</f>
        <v>4.0000000000000001E-3</v>
      </c>
      <c r="K82" s="2601"/>
      <c r="L82" s="2599">
        <f t="shared" si="10"/>
        <v>4.0000000000000001E-3</v>
      </c>
      <c r="M82" s="2601"/>
      <c r="N82" s="2599"/>
      <c r="O82" s="2603">
        <f t="shared" si="11"/>
        <v>4.0000000000000001E-3</v>
      </c>
      <c r="P82" t="s">
        <v>2628</v>
      </c>
    </row>
    <row r="83" spans="2:16" hidden="1">
      <c r="B83" s="2597"/>
      <c r="C83" s="2270"/>
      <c r="D83" s="2270"/>
      <c r="E83" s="2270"/>
      <c r="F83" s="2573">
        <f>$F$80</f>
        <v>0</v>
      </c>
      <c r="G83" s="2270"/>
      <c r="H83" s="2573">
        <f>IF(OR($F$20=$R$6,$F$20=$U$6),CO2データ!I259,IF($F$20=$S$6,CO2データ!L259,CO2データ!O259))</f>
        <v>0</v>
      </c>
      <c r="I83" s="2573">
        <f>IF(OR($F$20=$R$6,$F$20=$U$6),CO2データ!J259,IF($F$20=$S$6,CO2データ!M259,CO2データ!P259))</f>
        <v>0</v>
      </c>
      <c r="J83" s="2573">
        <f>IF(OR($F$20=$R$6,$F$20=$U$6),CO2データ!K259,IF($F$20=$S$6,CO2データ!N259,CO2データ!Q259))</f>
        <v>0</v>
      </c>
      <c r="K83" s="2601"/>
      <c r="L83" s="2599">
        <f t="shared" si="10"/>
        <v>0</v>
      </c>
      <c r="M83" s="2601"/>
      <c r="N83" s="2599"/>
      <c r="O83" s="2603">
        <f t="shared" si="11"/>
        <v>0</v>
      </c>
      <c r="P83" t="s">
        <v>2628</v>
      </c>
    </row>
    <row r="84" spans="2:16" hidden="1">
      <c r="B84" s="2597"/>
      <c r="C84" s="2270"/>
      <c r="D84" s="2270"/>
      <c r="E84" s="2270"/>
      <c r="F84" s="2573">
        <f>$F$80</f>
        <v>0</v>
      </c>
      <c r="G84" s="2270"/>
      <c r="H84" s="2573">
        <f>IF(OR($F$20=$R$6,$F$20=$U$6),CO2データ!I260,IF($F$20=$S$6,CO2データ!L260,CO2データ!O260))</f>
        <v>0.111</v>
      </c>
      <c r="I84" s="2573">
        <f>IF(OR($F$20=$R$6,$F$20=$U$6),CO2データ!J260,IF($F$20=$S$6,CO2データ!M260,CO2データ!P260))</f>
        <v>0</v>
      </c>
      <c r="J84" s="2573">
        <f>IF(OR($F$20=$R$6,$F$20=$U$6),CO2データ!K260,IF($F$20=$S$6,CO2データ!N260,CO2データ!Q260))</f>
        <v>0.111</v>
      </c>
      <c r="K84" s="2601"/>
      <c r="L84" s="2599">
        <f t="shared" si="10"/>
        <v>0.111</v>
      </c>
      <c r="M84" s="2601"/>
      <c r="N84" s="2599"/>
      <c r="O84" s="2603">
        <f t="shared" si="11"/>
        <v>0.111</v>
      </c>
      <c r="P84" t="s">
        <v>2628</v>
      </c>
    </row>
    <row r="85" spans="2:16" hidden="1">
      <c r="B85" s="2597"/>
      <c r="C85" s="2270"/>
      <c r="D85" s="2270"/>
      <c r="E85" s="2270"/>
      <c r="F85" s="2573">
        <f>$F$80</f>
        <v>0</v>
      </c>
      <c r="G85" s="2270"/>
      <c r="H85" s="2573">
        <f>IF(OR($F$20=$R$6,$F$20=$U$6),CO2データ!I261,IF($F$20=$S$6,CO2データ!L261,CO2データ!O261))</f>
        <v>1.4E-2</v>
      </c>
      <c r="I85" s="2573">
        <f>IF(OR($F$20=$R$6,$F$20=$U$6),CO2データ!J261,IF($F$20=$S$6,CO2データ!M261,CO2データ!P261))</f>
        <v>0</v>
      </c>
      <c r="J85" s="2573">
        <f>IF(OR($F$20=$R$6,$F$20=$U$6),CO2データ!K261,IF($F$20=$S$6,CO2データ!N261,CO2データ!Q261))</f>
        <v>1.434E-2</v>
      </c>
      <c r="K85" s="2601"/>
      <c r="L85" s="2599">
        <f t="shared" si="10"/>
        <v>1.4E-2</v>
      </c>
      <c r="M85" s="2601"/>
      <c r="N85" s="2599"/>
      <c r="O85" s="2603">
        <f t="shared" si="11"/>
        <v>1.4E-2</v>
      </c>
      <c r="P85" t="s">
        <v>2628</v>
      </c>
    </row>
    <row r="86" spans="2:16" hidden="1">
      <c r="B86" s="2597"/>
      <c r="C86" s="2270"/>
      <c r="D86" s="2270" t="s">
        <v>2269</v>
      </c>
      <c r="E86" s="2270"/>
      <c r="F86" s="2573">
        <f>F18</f>
        <v>0</v>
      </c>
      <c r="G86" s="2270"/>
      <c r="H86" s="2573">
        <f>IF(OR($F$20=$R$6,$F$20=$U$6),CO2データ!I262,IF($F$20=$S$6,CO2データ!L262,CO2データ!O262))</f>
        <v>0.73399999999999999</v>
      </c>
      <c r="I86" s="2573">
        <f>IF(OR($F$20=$R$6,$F$20=$U$6),CO2データ!J262,IF($F$20=$S$6,CO2データ!M262,CO2データ!P262))</f>
        <v>0</v>
      </c>
      <c r="J86" s="2573">
        <f>IF(OR($F$20=$R$6,$F$20=$U$6),CO2データ!K262,IF($F$20=$S$6,CO2データ!N262,CO2データ!Q262))</f>
        <v>0</v>
      </c>
      <c r="K86" s="2601"/>
      <c r="L86" s="2599">
        <f t="shared" si="10"/>
        <v>0.73399999999999999</v>
      </c>
      <c r="M86" s="2601"/>
      <c r="N86" s="2599"/>
      <c r="O86" s="2603">
        <f t="shared" si="11"/>
        <v>0.73399999999999999</v>
      </c>
      <c r="P86" t="s">
        <v>2625</v>
      </c>
    </row>
    <row r="87" spans="2:16" hidden="1">
      <c r="B87" s="2597"/>
      <c r="C87" s="2270"/>
      <c r="D87" s="2270"/>
      <c r="E87" s="2270"/>
      <c r="F87" s="2573">
        <f>$F$86</f>
        <v>0</v>
      </c>
      <c r="G87" s="2270"/>
      <c r="H87" s="2573">
        <f>IF(OR($F$20=$R$6,$F$20=$U$6),CO2データ!I263,IF($F$20=$S$6,CO2データ!L263,CO2データ!O263))</f>
        <v>0</v>
      </c>
      <c r="I87" s="2573">
        <f>IF(OR($F$20=$R$6,$F$20=$U$6),CO2データ!J263,IF($F$20=$S$6,CO2データ!M263,CO2データ!P263))</f>
        <v>0</v>
      </c>
      <c r="J87" s="2573">
        <f>IF(OR($F$20=$R$6,$F$20=$U$6),CO2データ!K263,IF($F$20=$S$6,CO2データ!N263,CO2データ!Q263))</f>
        <v>0.73399999999999999</v>
      </c>
      <c r="K87" s="2601"/>
      <c r="L87" s="2599">
        <f t="shared" si="10"/>
        <v>0</v>
      </c>
      <c r="M87" s="2601"/>
      <c r="N87" s="2599"/>
      <c r="O87" s="2603">
        <f t="shared" si="11"/>
        <v>0</v>
      </c>
      <c r="P87" t="s">
        <v>2625</v>
      </c>
    </row>
    <row r="88" spans="2:16" hidden="1">
      <c r="B88" s="2597"/>
      <c r="C88" s="2270"/>
      <c r="D88" s="2270"/>
      <c r="E88" s="2270"/>
      <c r="F88" s="2573">
        <f>$F$86</f>
        <v>0</v>
      </c>
      <c r="G88" s="2270"/>
      <c r="H88" s="2573">
        <f>IF(OR($F$20=$R$6,$F$20=$U$6),CO2データ!I264,IF($F$20=$S$6,CO2データ!L264,CO2データ!O264))</f>
        <v>1.2E-2</v>
      </c>
      <c r="I88" s="2573">
        <f>IF(OR($F$20=$R$6,$F$20=$U$6),CO2データ!J264,IF($F$20=$S$6,CO2データ!M264,CO2データ!P264))</f>
        <v>0</v>
      </c>
      <c r="J88" s="2573">
        <f>IF(OR($F$20=$R$6,$F$20=$U$6),CO2データ!K264,IF($F$20=$S$6,CO2データ!N264,CO2データ!Q264))</f>
        <v>1.2E-2</v>
      </c>
      <c r="K88" s="2601"/>
      <c r="L88" s="2599">
        <f t="shared" si="10"/>
        <v>1.2E-2</v>
      </c>
      <c r="M88" s="2601"/>
      <c r="N88" s="2599"/>
      <c r="O88" s="2603">
        <f t="shared" si="11"/>
        <v>1.2E-2</v>
      </c>
      <c r="P88" t="s">
        <v>2628</v>
      </c>
    </row>
    <row r="89" spans="2:16" hidden="1">
      <c r="B89" s="2597"/>
      <c r="C89" s="2270"/>
      <c r="D89" s="2270"/>
      <c r="E89" s="2270"/>
      <c r="F89" s="2573">
        <f>$F$86</f>
        <v>0</v>
      </c>
      <c r="G89" s="2270"/>
      <c r="H89" s="2573">
        <f>IF(OR($F$20=$R$6,$F$20=$U$6),CO2データ!I265,IF($F$20=$S$6,CO2データ!L265,CO2データ!O265))</f>
        <v>0</v>
      </c>
      <c r="I89" s="2573">
        <f>IF(OR($F$20=$R$6,$F$20=$U$6),CO2データ!J265,IF($F$20=$S$6,CO2データ!M265,CO2データ!P265))</f>
        <v>0</v>
      </c>
      <c r="J89" s="2573">
        <f>IF(OR($F$20=$R$6,$F$20=$U$6),CO2データ!K265,IF($F$20=$S$6,CO2データ!N265,CO2データ!Q265))</f>
        <v>0</v>
      </c>
      <c r="K89" s="2601"/>
      <c r="L89" s="2599">
        <f t="shared" si="10"/>
        <v>0</v>
      </c>
      <c r="M89" s="2601"/>
      <c r="N89" s="2599"/>
      <c r="O89" s="2603">
        <f t="shared" si="11"/>
        <v>0</v>
      </c>
      <c r="P89" t="s">
        <v>2628</v>
      </c>
    </row>
    <row r="90" spans="2:16" hidden="1">
      <c r="B90" s="2597"/>
      <c r="C90" s="2270"/>
      <c r="D90" s="2270"/>
      <c r="E90" s="2270"/>
      <c r="F90" s="2573">
        <f>$F$86</f>
        <v>0</v>
      </c>
      <c r="G90" s="2270"/>
      <c r="H90" s="2573">
        <f>IF(OR($F$20=$R$6,$F$20=$U$6),CO2データ!I266,IF($F$20=$S$6,CO2データ!L266,CO2データ!O266))</f>
        <v>0.1</v>
      </c>
      <c r="I90" s="2573">
        <f>IF(OR($F$20=$R$6,$F$20=$U$6),CO2データ!J266,IF($F$20=$S$6,CO2データ!M266,CO2データ!P266))</f>
        <v>0</v>
      </c>
      <c r="J90" s="2573">
        <f>IF(OR($F$20=$R$6,$F$20=$U$6),CO2データ!K266,IF($F$20=$S$6,CO2データ!N266,CO2データ!Q266))</f>
        <v>0.1</v>
      </c>
      <c r="K90" s="2601"/>
      <c r="L90" s="2599">
        <f t="shared" si="10"/>
        <v>0.1</v>
      </c>
      <c r="M90" s="2601"/>
      <c r="N90" s="2599"/>
      <c r="O90" s="2603">
        <f t="shared" si="11"/>
        <v>0.1</v>
      </c>
      <c r="P90" t="s">
        <v>2628</v>
      </c>
    </row>
    <row r="91" spans="2:16" hidden="1">
      <c r="B91" s="2597"/>
      <c r="C91" s="2270"/>
      <c r="D91" s="2270"/>
      <c r="E91" s="2270"/>
      <c r="F91" s="2573">
        <f>$F$86</f>
        <v>0</v>
      </c>
      <c r="G91" s="2270"/>
      <c r="H91" s="2573">
        <f>IF(OR($F$20=$R$6,$F$20=$U$6),CO2データ!I267,IF($F$20=$S$6,CO2データ!L267,CO2データ!O267))</f>
        <v>1.2999999999999999E-2</v>
      </c>
      <c r="I91" s="2573">
        <f>IF(OR($F$20=$R$6,$F$20=$U$6),CO2データ!J267,IF($F$20=$S$6,CO2データ!M267,CO2データ!P267))</f>
        <v>0</v>
      </c>
      <c r="J91" s="2573">
        <f>IF(OR($F$20=$R$6,$F$20=$U$6),CO2データ!K267,IF($F$20=$S$6,CO2データ!N267,CO2データ!Q267))</f>
        <v>1.329E-2</v>
      </c>
      <c r="K91" s="2601"/>
      <c r="L91" s="2599">
        <f t="shared" si="10"/>
        <v>1.2999999999999999E-2</v>
      </c>
      <c r="M91" s="2601"/>
      <c r="N91" s="2599"/>
      <c r="O91" s="2603">
        <f t="shared" si="11"/>
        <v>1.2999999999999999E-2</v>
      </c>
      <c r="P91" t="s">
        <v>2628</v>
      </c>
    </row>
    <row r="92" spans="2:16" hidden="1">
      <c r="B92" s="2586"/>
      <c r="C92" s="2268"/>
      <c r="D92" s="2268"/>
      <c r="E92" s="2268"/>
      <c r="F92" s="2268"/>
      <c r="G92" s="2268"/>
      <c r="H92" s="2268"/>
      <c r="I92" s="2268"/>
      <c r="J92" s="2268"/>
      <c r="K92" s="2268"/>
      <c r="L92" s="2268"/>
      <c r="M92" s="2268"/>
      <c r="N92" s="2268"/>
      <c r="O92" s="2449"/>
    </row>
    <row r="93" spans="2:16" hidden="1">
      <c r="B93" s="2597"/>
      <c r="C93" s="2270" t="s">
        <v>2105</v>
      </c>
      <c r="D93" s="2270" t="s">
        <v>530</v>
      </c>
      <c r="E93" s="2270"/>
      <c r="F93" s="2268"/>
      <c r="G93" s="2268"/>
      <c r="H93" s="2268"/>
      <c r="I93" s="2268"/>
      <c r="J93" s="2268"/>
      <c r="K93" s="2601"/>
      <c r="L93" s="2604">
        <f t="shared" ref="L93:L98" si="12">$F38*L38+$F44*L44+$F50*L50+$F56*L56+$F62*L62+$F68*L68+$F74*L74+$F80*L80+$F86*L86</f>
        <v>0.77200000000000002</v>
      </c>
      <c r="M93" s="2601"/>
      <c r="N93" s="2605"/>
      <c r="O93" s="2604">
        <f t="shared" ref="O93:O98" si="13">$F38*O38+$F44*O44+$F50*O50+$F56*O56+$F62*O62+$F68*O68+$F74*O74+$F80*O80+$F86*O86</f>
        <v>0.77200000000000002</v>
      </c>
      <c r="P93" t="s">
        <v>2625</v>
      </c>
    </row>
    <row r="94" spans="2:16" hidden="1">
      <c r="B94" s="2597"/>
      <c r="C94" s="2270"/>
      <c r="D94" s="2270"/>
      <c r="E94" s="2270"/>
      <c r="F94" s="2268"/>
      <c r="G94" s="2268"/>
      <c r="H94" s="2268"/>
      <c r="I94" s="2268"/>
      <c r="J94" s="2268"/>
      <c r="K94" s="2601"/>
      <c r="L94" s="2606">
        <f t="shared" si="12"/>
        <v>0</v>
      </c>
      <c r="M94" s="2601"/>
      <c r="N94" s="2605"/>
      <c r="O94" s="2606">
        <f t="shared" si="13"/>
        <v>0</v>
      </c>
      <c r="P94" t="s">
        <v>2625</v>
      </c>
    </row>
    <row r="95" spans="2:16" hidden="1">
      <c r="B95" s="2597"/>
      <c r="C95" s="2270"/>
      <c r="D95" s="2270"/>
      <c r="E95" s="2270"/>
      <c r="F95" s="2268"/>
      <c r="G95" s="2268"/>
      <c r="H95" s="2268"/>
      <c r="I95" s="2268"/>
      <c r="J95" s="2268"/>
      <c r="K95" s="2601"/>
      <c r="L95" s="2606">
        <f t="shared" si="12"/>
        <v>3.7999999999999999E-2</v>
      </c>
      <c r="M95" s="2601"/>
      <c r="N95" s="2605"/>
      <c r="O95" s="2606">
        <f t="shared" si="13"/>
        <v>3.7999999999999999E-2</v>
      </c>
      <c r="P95" t="s">
        <v>2628</v>
      </c>
    </row>
    <row r="96" spans="2:16" hidden="1">
      <c r="B96" s="2597"/>
      <c r="C96" s="2270"/>
      <c r="D96" s="2270"/>
      <c r="E96" s="2270"/>
      <c r="F96" s="2268"/>
      <c r="G96" s="2268"/>
      <c r="H96" s="2268"/>
      <c r="I96" s="2268"/>
      <c r="J96" s="2268"/>
      <c r="K96" s="2601"/>
      <c r="L96" s="2606">
        <f t="shared" si="12"/>
        <v>0</v>
      </c>
      <c r="M96" s="2601"/>
      <c r="N96" s="2605"/>
      <c r="O96" s="2606">
        <f t="shared" si="13"/>
        <v>0</v>
      </c>
      <c r="P96" t="s">
        <v>2628</v>
      </c>
    </row>
    <row r="97" spans="2:16" hidden="1">
      <c r="B97" s="2597"/>
      <c r="C97" s="2270"/>
      <c r="D97" s="2270"/>
      <c r="E97" s="2270"/>
      <c r="F97" s="2268"/>
      <c r="G97" s="2268"/>
      <c r="H97" s="2268"/>
      <c r="I97" s="2268"/>
      <c r="J97" s="2268"/>
      <c r="K97" s="2601"/>
      <c r="L97" s="2606">
        <f t="shared" si="12"/>
        <v>0.10299999999999999</v>
      </c>
      <c r="M97" s="2601"/>
      <c r="N97" s="2605"/>
      <c r="O97" s="2606">
        <f t="shared" si="13"/>
        <v>0.10299999999999999</v>
      </c>
      <c r="P97" t="s">
        <v>2628</v>
      </c>
    </row>
    <row r="98" spans="2:16" ht="14.25" hidden="1" thickBot="1">
      <c r="B98" s="2597"/>
      <c r="C98" s="2270"/>
      <c r="D98" s="2270"/>
      <c r="E98" s="2270"/>
      <c r="F98" s="2268"/>
      <c r="G98" s="2268"/>
      <c r="H98" s="2268"/>
      <c r="I98" s="2268"/>
      <c r="J98" s="2268"/>
      <c r="K98" s="2601"/>
      <c r="L98" s="2607">
        <f t="shared" si="12"/>
        <v>1.2999999999999999E-2</v>
      </c>
      <c r="M98" s="2601"/>
      <c r="N98" s="2605"/>
      <c r="O98" s="2607">
        <f t="shared" si="13"/>
        <v>1.2999999999999999E-2</v>
      </c>
      <c r="P98" t="s">
        <v>2628</v>
      </c>
    </row>
    <row r="99" spans="2:16" hidden="1">
      <c r="B99" s="2586"/>
      <c r="C99" s="2268"/>
      <c r="D99" s="2268"/>
      <c r="E99" s="2268"/>
      <c r="F99" s="2268"/>
      <c r="G99" s="2268"/>
      <c r="H99" s="2268"/>
      <c r="I99" s="2268"/>
      <c r="J99" s="2268"/>
      <c r="K99" s="2268"/>
      <c r="L99" s="2268"/>
      <c r="M99" s="2268"/>
      <c r="N99" s="2268"/>
      <c r="O99" s="2449"/>
    </row>
    <row r="100" spans="2:16" ht="16.5">
      <c r="B100" s="965" t="s">
        <v>2106</v>
      </c>
      <c r="C100" s="974"/>
      <c r="D100" s="977"/>
      <c r="E100" s="974"/>
      <c r="F100" s="2268"/>
      <c r="G100" s="2268"/>
      <c r="H100" s="966"/>
      <c r="I100" s="967"/>
      <c r="J100" s="967"/>
      <c r="K100" s="967"/>
      <c r="L100" s="967"/>
      <c r="M100" s="967"/>
      <c r="N100" s="967"/>
      <c r="O100" s="979"/>
    </row>
    <row r="101" spans="2:16" ht="14.25">
      <c r="B101" s="965"/>
      <c r="C101" s="969" t="s">
        <v>2107</v>
      </c>
      <c r="D101" s="977"/>
      <c r="E101" s="974"/>
      <c r="F101" s="2268"/>
      <c r="G101" s="2268"/>
      <c r="H101" s="966"/>
      <c r="I101" s="967"/>
      <c r="J101" s="966" t="s">
        <v>2101</v>
      </c>
      <c r="K101" s="967"/>
      <c r="L101" s="966" t="s">
        <v>2101</v>
      </c>
      <c r="M101" s="967"/>
      <c r="N101" s="967"/>
      <c r="O101" s="968" t="s">
        <v>2101</v>
      </c>
    </row>
    <row r="102" spans="2:16">
      <c r="B102" s="2267"/>
      <c r="C102" s="977"/>
      <c r="D102" s="977" t="s">
        <v>357</v>
      </c>
      <c r="E102" s="974"/>
      <c r="F102" s="2572" t="s">
        <v>1763</v>
      </c>
      <c r="G102" s="974"/>
      <c r="H102" s="971" t="s">
        <v>1764</v>
      </c>
      <c r="I102" s="971" t="s">
        <v>1765</v>
      </c>
      <c r="J102" s="971" t="s">
        <v>1766</v>
      </c>
      <c r="K102" s="972" t="s">
        <v>355</v>
      </c>
      <c r="L102" s="973" t="s">
        <v>356</v>
      </c>
      <c r="M102" s="974"/>
      <c r="N102" s="972" t="s">
        <v>355</v>
      </c>
      <c r="O102" s="975" t="s">
        <v>356</v>
      </c>
    </row>
    <row r="103" spans="2:16">
      <c r="B103" s="2267"/>
      <c r="C103" s="977"/>
      <c r="D103" s="977"/>
      <c r="E103" s="977" t="s">
        <v>512</v>
      </c>
      <c r="F103" s="2573">
        <f t="shared" ref="F103:F111" si="14">F10</f>
        <v>1</v>
      </c>
      <c r="G103" s="974"/>
      <c r="H103" s="2573">
        <f>IF(OR($F$20=$R$6,$F$20=$U$6),CO2データ!I67,IF($F$20=$S$6,CO2データ!L67,CO2データ!O67))</f>
        <v>16.456</v>
      </c>
      <c r="I103" s="2573">
        <f>IF(OR($F$20=$R$6,$F$20=$U$6),CO2データ!J67,IF($F$20=$S$6,CO2データ!M67,CO2データ!P67))</f>
        <v>16.456</v>
      </c>
      <c r="J103" s="2573">
        <f>IF(OR($F$20=$R$6,$F$20=$U$6),CO2データ!K67,IF($F$20=$S$6,CO2データ!N67,CO2データ!Q67))</f>
        <v>16.456</v>
      </c>
      <c r="K103" s="2285">
        <f>スコア!M80</f>
        <v>3</v>
      </c>
      <c r="L103" s="2575">
        <f t="shared" ref="L103:L111" si="15">IF(K103&gt;=5,$J103,IF(K103&gt;=4,$I103,$H103))</f>
        <v>16.456</v>
      </c>
      <c r="M103" s="974"/>
      <c r="N103" s="2285">
        <v>3</v>
      </c>
      <c r="O103" s="2576">
        <f>IF(OR($F$20=$R$6,$F$20=$U$6),CO2データ!I65,IF($F$20=$S$6,CO2データ!L65,CO2データ!O65))</f>
        <v>16.456</v>
      </c>
    </row>
    <row r="104" spans="2:16">
      <c r="B104" s="2267"/>
      <c r="C104" s="974"/>
      <c r="D104" s="977"/>
      <c r="E104" s="977" t="s">
        <v>514</v>
      </c>
      <c r="F104" s="2573">
        <f t="shared" si="14"/>
        <v>0</v>
      </c>
      <c r="G104" s="974"/>
      <c r="H104" s="2573">
        <f>IF(OR($F$20=$R$6,$F$20=$U$6),CO2データ!I70,IF($F$20=$S$6,CO2データ!L70,CO2データ!O70))</f>
        <v>12.423999999999999</v>
      </c>
      <c r="I104" s="2573">
        <f>IF(OR($F$20=$R$6,$F$20=$U$6),CO2データ!J70,IF($F$20=$S$6,CO2データ!M70,CO2データ!P70))</f>
        <v>12.423999999999999</v>
      </c>
      <c r="J104" s="2573">
        <f>IF(OR($F$20=$R$6,$F$20=$U$6),CO2データ!K70,IF($F$20=$S$6,CO2データ!N70,CO2データ!Q70))</f>
        <v>12.423999999999999</v>
      </c>
      <c r="K104" s="2285">
        <f t="shared" ref="K104:K111" si="16">K$103</f>
        <v>3</v>
      </c>
      <c r="L104" s="2575">
        <f t="shared" si="15"/>
        <v>12.423999999999999</v>
      </c>
      <c r="M104" s="974"/>
      <c r="N104" s="2285">
        <v>3</v>
      </c>
      <c r="O104" s="2576">
        <f>IF(OR($F$20=$R$6,$F$20=$U$6),CO2データ!I68,IF($F$20=$S$6,CO2データ!L68,CO2データ!O68))</f>
        <v>12.423999999999999</v>
      </c>
    </row>
    <row r="105" spans="2:16">
      <c r="B105" s="2267"/>
      <c r="C105" s="974"/>
      <c r="D105" s="2268"/>
      <c r="E105" s="977" t="s">
        <v>516</v>
      </c>
      <c r="F105" s="2573">
        <f t="shared" si="14"/>
        <v>0</v>
      </c>
      <c r="G105" s="974"/>
      <c r="H105" s="2573">
        <f>IF(OR($F$20=$R$6,$F$20=$U$6),CO2データ!I73,IF($F$20=$S$6,CO2データ!L73,CO2データ!O73))</f>
        <v>13.193999999999999</v>
      </c>
      <c r="I105" s="2573">
        <f>IF(OR($F$20=$R$6,$F$20=$U$6),CO2データ!J73,IF($F$20=$S$6,CO2データ!M73,CO2データ!P73))</f>
        <v>13.193999999999999</v>
      </c>
      <c r="J105" s="2573">
        <f>IF(OR($F$20=$R$6,$F$20=$U$6),CO2データ!K73,IF($F$20=$S$6,CO2データ!N73,CO2データ!Q73))</f>
        <v>13.193999999999999</v>
      </c>
      <c r="K105" s="2285">
        <f t="shared" si="16"/>
        <v>3</v>
      </c>
      <c r="L105" s="2575">
        <f t="shared" si="15"/>
        <v>13.193999999999999</v>
      </c>
      <c r="M105" s="974"/>
      <c r="N105" s="2285">
        <v>3</v>
      </c>
      <c r="O105" s="2576">
        <f>IF(OR($F$20=$R$6,$F$20=$U$6),CO2データ!I71,IF($F$20=$S$6,CO2データ!L71,CO2データ!O71))</f>
        <v>7.7379999999999995</v>
      </c>
    </row>
    <row r="106" spans="2:16">
      <c r="B106" s="2267"/>
      <c r="C106" s="974"/>
      <c r="D106" s="977"/>
      <c r="E106" s="977" t="s">
        <v>518</v>
      </c>
      <c r="F106" s="2573">
        <f t="shared" si="14"/>
        <v>0</v>
      </c>
      <c r="G106" s="974"/>
      <c r="H106" s="2573">
        <f>IF(OR($F$20=$R$6,$F$20=$U$6),CO2データ!I76,IF($F$20=$S$6,CO2データ!L76,CO2データ!O76))</f>
        <v>7.7379999999999995</v>
      </c>
      <c r="I106" s="2573">
        <f>IF(OR($F$20=$R$6,$F$20=$U$6),CO2データ!J76,IF($F$20=$S$6,CO2データ!M76,CO2データ!P76))</f>
        <v>7.7379999999999995</v>
      </c>
      <c r="J106" s="2573">
        <f>IF(OR($F$20=$R$6,$F$20=$U$6),CO2データ!K76,IF($F$20=$S$6,CO2データ!N76,CO2データ!Q76))</f>
        <v>7.7379999999999995</v>
      </c>
      <c r="K106" s="2285">
        <f t="shared" si="16"/>
        <v>3</v>
      </c>
      <c r="L106" s="2575">
        <f t="shared" si="15"/>
        <v>7.7379999999999995</v>
      </c>
      <c r="M106" s="974"/>
      <c r="N106" s="2285">
        <v>3</v>
      </c>
      <c r="O106" s="2576">
        <f>IF(OR($F$20=$R$6,$F$20=$U$6),CO2データ!I74,IF($F$20=$S$6,CO2データ!L74,CO2データ!O74))</f>
        <v>7.7379999999999995</v>
      </c>
    </row>
    <row r="107" spans="2:16">
      <c r="B107" s="2267"/>
      <c r="C107" s="2268"/>
      <c r="D107" s="2268"/>
      <c r="E107" s="2273" t="s">
        <v>2129</v>
      </c>
      <c r="F107" s="2573">
        <f t="shared" si="14"/>
        <v>0</v>
      </c>
      <c r="G107" s="974"/>
      <c r="H107" s="2573">
        <f>IF(OR($F$20=$R$6,$F$20=$U$6),CO2データ!I79,IF($F$20=$S$6,CO2データ!L79,CO2データ!O79))</f>
        <v>13.426</v>
      </c>
      <c r="I107" s="2573">
        <f>IF(OR($F$20=$R$6,$F$20=$U$6),CO2データ!J79,IF($F$20=$S$6,CO2データ!M79,CO2データ!P79))</f>
        <v>13.426</v>
      </c>
      <c r="J107" s="2573">
        <f>IF(OR($F$20=$R$6,$F$20=$U$6),CO2データ!K79,IF($F$20=$S$6,CO2データ!N79,CO2データ!Q79))</f>
        <v>13.426</v>
      </c>
      <c r="K107" s="2285">
        <f t="shared" si="16"/>
        <v>3</v>
      </c>
      <c r="L107" s="2575">
        <f t="shared" si="15"/>
        <v>13.426</v>
      </c>
      <c r="M107" s="974"/>
      <c r="N107" s="2285">
        <v>3</v>
      </c>
      <c r="O107" s="2576">
        <f>IF(OR($F$20=$R$6,$F$20=$U$6),CO2データ!I77,IF($F$20=$S$6,CO2データ!L77,CO2データ!O77))</f>
        <v>13.426</v>
      </c>
    </row>
    <row r="108" spans="2:16">
      <c r="B108" s="2267"/>
      <c r="C108" s="2268"/>
      <c r="D108" s="2268"/>
      <c r="E108" s="2273" t="s">
        <v>528</v>
      </c>
      <c r="F108" s="2573">
        <f t="shared" si="14"/>
        <v>0</v>
      </c>
      <c r="G108" s="974"/>
      <c r="H108" s="2573">
        <f>IF(OR($F$20=$R$6,$F$20=$U$6),CO2データ!I82,IF($F$20=$S$6,CO2データ!L82,CO2データ!O82))</f>
        <v>9.4220000000000006</v>
      </c>
      <c r="I108" s="2573">
        <f>IF(OR($F$20=$R$6,$F$20=$U$6),CO2データ!J82,IF($F$20=$S$6,CO2データ!M82,CO2データ!P82))</f>
        <v>9.4220000000000006</v>
      </c>
      <c r="J108" s="2573">
        <f>IF(OR($F$20=$R$6,$F$20=$U$6),CO2データ!K82,IF($F$20=$S$6,CO2データ!N82,CO2データ!Q82))</f>
        <v>9.4220000000000006</v>
      </c>
      <c r="K108" s="2285">
        <f t="shared" si="16"/>
        <v>3</v>
      </c>
      <c r="L108" s="2575">
        <f t="shared" si="15"/>
        <v>9.4220000000000006</v>
      </c>
      <c r="M108" s="974"/>
      <c r="N108" s="2285">
        <v>3</v>
      </c>
      <c r="O108" s="2576">
        <f>IF(OR($F$20=$R$6,$F$20=$U$6),CO2データ!I80,IF($F$20=$S$6,CO2データ!L80,CO2データ!O80))</f>
        <v>9.4220000000000006</v>
      </c>
    </row>
    <row r="109" spans="2:16">
      <c r="B109" s="2267"/>
      <c r="C109" s="2268"/>
      <c r="D109" s="2268"/>
      <c r="E109" s="2273" t="s">
        <v>522</v>
      </c>
      <c r="F109" s="2573">
        <f t="shared" si="14"/>
        <v>0</v>
      </c>
      <c r="G109" s="974"/>
      <c r="H109" s="2573">
        <f>IF(OR($F$20=$R$6,$F$20=$U$6),CO2データ!I85,IF($F$20=$S$6,CO2データ!L85,CO2データ!O85))</f>
        <v>16.053999999999998</v>
      </c>
      <c r="I109" s="2573">
        <f>IF(OR($F$20=$R$6,$F$20=$U$6),CO2データ!J85,IF($F$20=$S$6,CO2データ!M85,CO2データ!P85))</f>
        <v>16.053999999999998</v>
      </c>
      <c r="J109" s="2573">
        <f>IF(OR($F$20=$R$6,$F$20=$U$6),CO2データ!K85,IF($F$20=$S$6,CO2データ!N85,CO2データ!Q85))</f>
        <v>16.053999999999998</v>
      </c>
      <c r="K109" s="2285">
        <f t="shared" si="16"/>
        <v>3</v>
      </c>
      <c r="L109" s="2575">
        <f t="shared" si="15"/>
        <v>16.053999999999998</v>
      </c>
      <c r="M109" s="974"/>
      <c r="N109" s="2285">
        <v>3</v>
      </c>
      <c r="O109" s="2576">
        <f>IF(OR($F$20=$R$6,$F$20=$U$6),CO2データ!I83,IF($F$20=$S$6,CO2データ!L83,CO2データ!O83))</f>
        <v>16.053999999999998</v>
      </c>
    </row>
    <row r="110" spans="2:16">
      <c r="B110" s="2267"/>
      <c r="C110" s="2268"/>
      <c r="D110" s="2268"/>
      <c r="E110" s="2273" t="s">
        <v>358</v>
      </c>
      <c r="F110" s="2573">
        <f t="shared" si="14"/>
        <v>0</v>
      </c>
      <c r="G110" s="974"/>
      <c r="H110" s="2573">
        <f>IF(OR($F$20=$R$6,$F$20=$U$6),CO2データ!I88,IF($F$20=$S$6,CO2データ!L88,CO2データ!O88))</f>
        <v>13.942</v>
      </c>
      <c r="I110" s="2573">
        <f>IF(OR($F$20=$R$6,$F$20=$U$6),CO2データ!J88,IF($F$20=$S$6,CO2データ!M88,CO2データ!P88))</f>
        <v>13.942</v>
      </c>
      <c r="J110" s="2573">
        <f>IF(OR($F$20=$R$6,$F$20=$U$6),CO2データ!K88,IF($F$20=$S$6,CO2データ!N88,CO2データ!Q88))</f>
        <v>13.942</v>
      </c>
      <c r="K110" s="2285">
        <f t="shared" si="16"/>
        <v>3</v>
      </c>
      <c r="L110" s="2575">
        <f t="shared" si="15"/>
        <v>13.942</v>
      </c>
      <c r="M110" s="974"/>
      <c r="N110" s="2285">
        <v>3</v>
      </c>
      <c r="O110" s="2576">
        <f>IF(OR($F$20=$R$6,$F$20=$U$6),CO2データ!I86,IF($F$20=$S$6,CO2データ!L86,CO2データ!O86))</f>
        <v>13.942</v>
      </c>
    </row>
    <row r="111" spans="2:16">
      <c r="B111" s="2267"/>
      <c r="C111" s="2268"/>
      <c r="D111" s="2268"/>
      <c r="E111" s="2273" t="s">
        <v>526</v>
      </c>
      <c r="F111" s="2573">
        <f t="shared" si="14"/>
        <v>0</v>
      </c>
      <c r="G111" s="974"/>
      <c r="H111" s="2573">
        <f>IF(OR($F$20=$R$6,$F$20=$U$6),CO2データ!I91,IF($F$20=$S$6,CO2データ!L91,CO2データ!O91))</f>
        <v>8.3709999999999987</v>
      </c>
      <c r="I111" s="2573">
        <f>IF(OR($F$20=$R$6,$F$20=$U$6),CO2データ!J91,IF($F$20=$S$6,CO2データ!M91,CO2データ!P91))</f>
        <v>9.7349999999999994</v>
      </c>
      <c r="J111" s="2573">
        <f>IF(OR($F$20=$R$6,$F$20=$U$6),CO2データ!K91,IF($F$20=$S$6,CO2データ!N91,CO2データ!Q91))</f>
        <v>10.863</v>
      </c>
      <c r="K111" s="2285">
        <f t="shared" si="16"/>
        <v>3</v>
      </c>
      <c r="L111" s="2575">
        <f t="shared" si="15"/>
        <v>8.3709999999999987</v>
      </c>
      <c r="M111" s="974"/>
      <c r="N111" s="2285">
        <v>3</v>
      </c>
      <c r="O111" s="2576">
        <f>IF(OR($F$20=$R$6,$F$20=$U$6),CO2データ!I89,IF($F$20=$S$6,CO2データ!L89,CO2データ!O89))</f>
        <v>8.3709999999999987</v>
      </c>
    </row>
    <row r="112" spans="2:16" ht="14.25" thickBot="1">
      <c r="B112" s="2267"/>
      <c r="C112" s="2268"/>
      <c r="D112" s="2268"/>
      <c r="E112" s="2268"/>
      <c r="F112" s="2268"/>
      <c r="G112" s="2268"/>
      <c r="H112" s="2268"/>
      <c r="I112" s="2268"/>
      <c r="J112" s="2268"/>
      <c r="K112" s="2268"/>
      <c r="L112" s="2268"/>
      <c r="M112" s="2268"/>
      <c r="N112" s="2268"/>
      <c r="O112" s="2449"/>
    </row>
    <row r="113" spans="2:18" ht="14.25" thickBot="1">
      <c r="B113" s="2586"/>
      <c r="C113" s="969" t="s">
        <v>2270</v>
      </c>
      <c r="D113" s="977"/>
      <c r="E113" s="2273"/>
      <c r="F113" s="2268"/>
      <c r="G113" s="2268"/>
      <c r="H113" s="2268"/>
      <c r="I113" s="2268"/>
      <c r="J113" s="2268"/>
      <c r="K113" s="2268"/>
      <c r="L113" s="2589">
        <f>SUMPRODUCT(F103:F111,L103:L111)</f>
        <v>16.456</v>
      </c>
      <c r="M113" s="2268"/>
      <c r="N113" s="2268"/>
      <c r="O113" s="2589">
        <f>SUMPRODUCT(F103:F111,O103:O111)</f>
        <v>16.456</v>
      </c>
    </row>
    <row r="114" spans="2:18">
      <c r="B114" s="2267"/>
      <c r="C114" s="2268"/>
      <c r="D114" s="2268"/>
      <c r="E114" s="2268"/>
      <c r="F114" s="2268"/>
      <c r="G114" s="2268"/>
      <c r="H114" s="2268"/>
      <c r="I114" s="2268"/>
      <c r="J114" s="2268"/>
      <c r="K114" s="2268"/>
      <c r="L114" s="2268"/>
      <c r="M114" s="2268"/>
      <c r="N114" s="2268"/>
      <c r="O114" s="2449"/>
    </row>
    <row r="115" spans="2:18" ht="17.25" thickBot="1">
      <c r="B115" s="965" t="s">
        <v>2108</v>
      </c>
      <c r="C115" s="2268"/>
      <c r="D115" s="2268"/>
      <c r="E115" s="2268"/>
      <c r="F115" s="2268"/>
      <c r="G115" s="2268"/>
      <c r="H115" s="2268"/>
      <c r="I115" s="2268"/>
      <c r="J115" s="2268"/>
      <c r="K115" s="2268"/>
      <c r="L115" s="966" t="s">
        <v>2101</v>
      </c>
      <c r="M115" s="974"/>
      <c r="N115" s="974"/>
      <c r="O115" s="968" t="s">
        <v>2101</v>
      </c>
      <c r="R115" t="s">
        <v>2109</v>
      </c>
    </row>
    <row r="116" spans="2:18" ht="14.25" thickBot="1">
      <c r="B116" s="965"/>
      <c r="C116" s="969" t="s">
        <v>2271</v>
      </c>
      <c r="D116" s="2268"/>
      <c r="E116" s="2268"/>
      <c r="F116" s="2268" t="s">
        <v>471</v>
      </c>
      <c r="G116" s="2268"/>
      <c r="H116" s="2268" t="s">
        <v>1891</v>
      </c>
      <c r="I116" s="2268"/>
      <c r="J116" s="2268" t="s">
        <v>2561</v>
      </c>
      <c r="K116" s="2268"/>
      <c r="L116" s="980">
        <f>SUM(L118:L121)</f>
        <v>73.890386557377056</v>
      </c>
      <c r="M116" s="974"/>
      <c r="N116" s="981" t="s">
        <v>2272</v>
      </c>
      <c r="O116" s="980">
        <f>SUM(O118:O121)</f>
        <v>82.100429508196726</v>
      </c>
    </row>
    <row r="117" spans="2:18">
      <c r="B117" s="965"/>
      <c r="C117" s="969"/>
      <c r="D117" s="2268"/>
      <c r="E117" s="2268"/>
      <c r="F117" s="2608" t="s">
        <v>3233</v>
      </c>
      <c r="G117" s="2268"/>
      <c r="H117" s="962" t="s">
        <v>1893</v>
      </c>
      <c r="I117" s="962" t="s">
        <v>1892</v>
      </c>
      <c r="J117" s="977" t="s">
        <v>1889</v>
      </c>
      <c r="K117" s="2268"/>
      <c r="L117" s="982"/>
      <c r="M117" s="974"/>
      <c r="N117" s="981"/>
      <c r="O117" s="2282"/>
    </row>
    <row r="118" spans="2:18">
      <c r="B118" s="965"/>
      <c r="C118" s="969"/>
      <c r="D118" s="2268"/>
      <c r="E118" s="2268" t="s">
        <v>720</v>
      </c>
      <c r="F118" s="2609">
        <f>計画書!I29</f>
        <v>3000</v>
      </c>
      <c r="G118" s="2268"/>
      <c r="H118" s="2609">
        <f>計画書!Q74</f>
        <v>4620</v>
      </c>
      <c r="I118" s="2609">
        <f>計画書!N74</f>
        <v>4158</v>
      </c>
      <c r="J118" s="2468">
        <f>計画書!L94</f>
        <v>5.3311967213114757E-2</v>
      </c>
      <c r="K118" s="2268"/>
      <c r="L118" s="2337">
        <f>IF(F118=0,0,I118*J118/F118*1000)</f>
        <v>73.890386557377056</v>
      </c>
      <c r="M118" s="974"/>
      <c r="N118" s="981"/>
      <c r="O118" s="2610">
        <f>IF(F118=0,0,H118*J118/F118*1000)</f>
        <v>82.100429508196726</v>
      </c>
    </row>
    <row r="119" spans="2:18" s="2681" customFormat="1" hidden="1">
      <c r="B119" s="965"/>
      <c r="C119" s="969"/>
      <c r="D119" s="2268"/>
      <c r="E119" s="2268"/>
      <c r="F119" s="2609"/>
      <c r="G119" s="2268"/>
      <c r="H119" s="2609"/>
      <c r="I119" s="2609"/>
      <c r="J119" s="2468"/>
      <c r="K119" s="2268"/>
      <c r="L119" s="2337"/>
      <c r="M119" s="974"/>
      <c r="N119" s="981"/>
      <c r="O119" s="2610"/>
    </row>
    <row r="120" spans="2:18">
      <c r="B120" s="965"/>
      <c r="C120" s="969"/>
      <c r="D120" s="2268"/>
      <c r="E120" s="2268" t="s">
        <v>797</v>
      </c>
      <c r="F120" s="2609">
        <f>計画書!N29</f>
        <v>0</v>
      </c>
      <c r="G120" s="2268"/>
      <c r="H120" s="2609">
        <f>計画書!Q108</f>
        <v>0</v>
      </c>
      <c r="I120" s="2609">
        <f>計画書!N108</f>
        <v>0</v>
      </c>
      <c r="J120" s="2468">
        <f>CO2データ!R168</f>
        <v>5.5525114754098361E-2</v>
      </c>
      <c r="K120" s="2268"/>
      <c r="L120" s="2337">
        <f>IF(F120=0,0,I120*J120/F120*1000)</f>
        <v>0</v>
      </c>
      <c r="M120" s="974"/>
      <c r="N120" s="981"/>
      <c r="O120" s="2610">
        <f>IF(F120=0,0,H120*J120/F120*1000)</f>
        <v>0</v>
      </c>
    </row>
    <row r="121" spans="2:18">
      <c r="B121" s="965"/>
      <c r="C121" s="969"/>
      <c r="D121" s="2268"/>
      <c r="E121" s="2268" t="s">
        <v>1890</v>
      </c>
      <c r="F121" s="2609">
        <f>計画書!M29</f>
        <v>0</v>
      </c>
      <c r="G121" s="2268"/>
      <c r="H121" s="2609">
        <f>計画書!Q112</f>
        <v>0</v>
      </c>
      <c r="I121" s="2609" t="str">
        <f>計画書!N112</f>
        <v>-</v>
      </c>
      <c r="J121" s="2468">
        <f>CO2データ!R169</f>
        <v>5.2868852459016395E-2</v>
      </c>
      <c r="K121" s="2268"/>
      <c r="L121" s="2337">
        <f>IF(F121=0,0,I121*J121/F121*1000)</f>
        <v>0</v>
      </c>
      <c r="M121" s="974"/>
      <c r="N121" s="981"/>
      <c r="O121" s="2610">
        <f>IF(F121=0,0,H121*J121/F121*1000)</f>
        <v>0</v>
      </c>
    </row>
    <row r="122" spans="2:18" ht="14.25" thickBot="1">
      <c r="B122" s="965"/>
      <c r="C122" s="2268"/>
      <c r="D122" s="2268"/>
      <c r="E122" s="2268"/>
      <c r="F122" s="2268"/>
      <c r="G122" s="2268"/>
      <c r="H122" s="2268"/>
      <c r="I122" s="2268"/>
      <c r="J122" s="2268"/>
      <c r="K122" s="2268"/>
      <c r="L122" s="966"/>
      <c r="M122" s="974"/>
      <c r="N122" s="974"/>
      <c r="O122" s="968"/>
    </row>
    <row r="123" spans="2:18" ht="14.25" thickBot="1">
      <c r="B123" s="2267"/>
      <c r="C123" s="969" t="s">
        <v>2273</v>
      </c>
      <c r="D123" s="2268"/>
      <c r="E123" s="2268"/>
      <c r="F123" s="2268" t="s">
        <v>471</v>
      </c>
      <c r="G123" s="2268"/>
      <c r="H123" s="2268" t="s">
        <v>1891</v>
      </c>
      <c r="I123" s="2268"/>
      <c r="J123" s="2268" t="s">
        <v>2561</v>
      </c>
      <c r="K123" s="2268"/>
      <c r="L123" s="980">
        <f>SUM(L125:L127)</f>
        <v>73.890386557377056</v>
      </c>
      <c r="M123" s="2268"/>
      <c r="N123" s="2268"/>
      <c r="O123" s="2449"/>
    </row>
    <row r="124" spans="2:18">
      <c r="B124" s="2267"/>
      <c r="C124" s="969"/>
      <c r="D124" s="2268"/>
      <c r="E124" s="2268"/>
      <c r="F124" s="2272" t="s">
        <v>2573</v>
      </c>
      <c r="G124" s="2268"/>
      <c r="H124" s="2611" t="s">
        <v>139</v>
      </c>
      <c r="I124" s="962" t="s">
        <v>1894</v>
      </c>
      <c r="J124" s="977" t="s">
        <v>1889</v>
      </c>
      <c r="K124" s="2268"/>
      <c r="L124" s="2268"/>
      <c r="M124" s="2268"/>
      <c r="N124" s="2268"/>
      <c r="O124" s="2449"/>
    </row>
    <row r="125" spans="2:18">
      <c r="B125" s="2267"/>
      <c r="C125" s="969"/>
      <c r="D125" s="2268"/>
      <c r="E125" s="2268" t="s">
        <v>720</v>
      </c>
      <c r="F125" s="2609">
        <f>F118</f>
        <v>3000</v>
      </c>
      <c r="G125" s="2268"/>
      <c r="H125" s="2609">
        <f>計画書!I43</f>
        <v>0</v>
      </c>
      <c r="I125" s="2609">
        <f>I118-H125</f>
        <v>4158</v>
      </c>
      <c r="J125" s="2468">
        <f>J118</f>
        <v>5.3311967213114757E-2</v>
      </c>
      <c r="K125" s="2268"/>
      <c r="L125" s="2337">
        <f>IF(F125=0,0,I125*J125/F125*1000)</f>
        <v>73.890386557377056</v>
      </c>
      <c r="M125" s="2268"/>
      <c r="N125" s="2268"/>
      <c r="O125" s="2449"/>
    </row>
    <row r="126" spans="2:18">
      <c r="B126" s="2267"/>
      <c r="C126" s="969"/>
      <c r="D126" s="2268"/>
      <c r="E126" s="2268" t="s">
        <v>797</v>
      </c>
      <c r="F126" s="2609">
        <f>F120</f>
        <v>0</v>
      </c>
      <c r="G126" s="2268"/>
      <c r="H126" s="2609">
        <f>計画書!N43</f>
        <v>0</v>
      </c>
      <c r="I126" s="2609">
        <f>I120-H126</f>
        <v>0</v>
      </c>
      <c r="J126" s="2468">
        <f>J120</f>
        <v>5.5525114754098361E-2</v>
      </c>
      <c r="K126" s="2268"/>
      <c r="L126" s="2337">
        <f>IF(F126=0,0,I126*J126/F126*1000)</f>
        <v>0</v>
      </c>
      <c r="M126" s="2268"/>
      <c r="N126" s="2268"/>
      <c r="O126" s="2449"/>
    </row>
    <row r="127" spans="2:18">
      <c r="B127" s="2267"/>
      <c r="C127" s="969"/>
      <c r="D127" s="2268"/>
      <c r="E127" s="2268" t="s">
        <v>1890</v>
      </c>
      <c r="F127" s="2609">
        <f>F121</f>
        <v>0</v>
      </c>
      <c r="G127" s="2268"/>
      <c r="H127" s="2609">
        <f>計画書!M43</f>
        <v>0</v>
      </c>
      <c r="I127" s="2609" t="e">
        <f>I121-H127</f>
        <v>#VALUE!</v>
      </c>
      <c r="J127" s="2468">
        <f>J121</f>
        <v>5.2868852459016395E-2</v>
      </c>
      <c r="K127" s="2268"/>
      <c r="L127" s="2337">
        <f>IF(F127=0,0,I127*J127/F127*1000)</f>
        <v>0</v>
      </c>
      <c r="M127" s="2268"/>
      <c r="N127" s="2268"/>
      <c r="O127" s="2449"/>
    </row>
    <row r="128" spans="2:18">
      <c r="B128" s="2267"/>
      <c r="C128" s="969"/>
      <c r="D128" s="2268"/>
      <c r="E128" s="2268"/>
      <c r="F128" s="2268"/>
      <c r="G128" s="2268"/>
      <c r="H128" s="2268"/>
      <c r="I128" s="2268"/>
      <c r="J128" s="2268"/>
      <c r="K128" s="2268"/>
      <c r="L128" s="2268"/>
      <c r="M128" s="2268"/>
      <c r="N128" s="2268"/>
      <c r="O128" s="2449"/>
    </row>
    <row r="129" spans="2:15" hidden="1">
      <c r="B129" s="2267"/>
      <c r="C129" s="969"/>
      <c r="D129" s="2268"/>
      <c r="E129" s="2268"/>
      <c r="F129" s="2268" t="s">
        <v>2357</v>
      </c>
      <c r="G129" s="2268"/>
      <c r="H129" s="2609"/>
      <c r="I129" s="2468"/>
      <c r="J129" s="2430"/>
      <c r="K129" s="2268"/>
      <c r="L129" s="2268"/>
      <c r="M129" s="2268"/>
      <c r="N129" s="2268"/>
      <c r="O129" s="2449"/>
    </row>
    <row r="130" spans="2:15" hidden="1">
      <c r="B130" s="2267"/>
      <c r="C130" s="969"/>
      <c r="D130" s="2268"/>
      <c r="E130" s="2268"/>
      <c r="F130" s="2268"/>
      <c r="G130" s="2268"/>
      <c r="H130" s="974"/>
      <c r="I130" s="2268"/>
      <c r="J130" s="2268"/>
      <c r="K130" s="2268"/>
      <c r="L130" s="2433"/>
      <c r="M130" s="2268"/>
      <c r="N130" s="2268"/>
      <c r="O130" s="2449"/>
    </row>
    <row r="131" spans="2:15" ht="16.5">
      <c r="B131" s="965" t="s">
        <v>2110</v>
      </c>
      <c r="C131" s="974"/>
      <c r="D131" s="977"/>
      <c r="E131" s="974"/>
      <c r="F131" s="967"/>
      <c r="G131" s="974"/>
      <c r="H131" s="974"/>
      <c r="I131" s="974"/>
      <c r="J131" s="974"/>
      <c r="K131" s="2612"/>
      <c r="L131" s="966" t="s">
        <v>2101</v>
      </c>
      <c r="M131" s="974"/>
      <c r="N131" s="974"/>
      <c r="O131" s="968" t="s">
        <v>2101</v>
      </c>
    </row>
    <row r="132" spans="2:15">
      <c r="B132" s="2271"/>
      <c r="C132" s="974"/>
      <c r="D132" s="977"/>
      <c r="E132" s="974"/>
      <c r="F132" s="967"/>
      <c r="G132" s="974"/>
      <c r="H132" s="974"/>
      <c r="I132" s="974"/>
      <c r="J132" s="974"/>
      <c r="K132" s="2612"/>
      <c r="L132" s="973" t="s">
        <v>356</v>
      </c>
      <c r="M132" s="974"/>
      <c r="N132" s="985"/>
      <c r="O132" s="975" t="s">
        <v>356</v>
      </c>
    </row>
    <row r="133" spans="2:15">
      <c r="B133" s="2271"/>
      <c r="C133" s="986" t="s">
        <v>801</v>
      </c>
      <c r="D133" s="987"/>
      <c r="E133" s="987"/>
      <c r="F133" s="988"/>
      <c r="G133" s="974"/>
      <c r="H133" s="974"/>
      <c r="I133" s="974"/>
      <c r="J133" s="974"/>
      <c r="K133" s="2612"/>
      <c r="L133" s="989">
        <f>L24</f>
        <v>13.23</v>
      </c>
      <c r="M133" s="974"/>
      <c r="N133" s="974"/>
      <c r="O133" s="990">
        <f>O24</f>
        <v>13.23</v>
      </c>
    </row>
    <row r="134" spans="2:15">
      <c r="B134" s="2271"/>
      <c r="C134" s="986" t="s">
        <v>2358</v>
      </c>
      <c r="D134" s="987"/>
      <c r="E134" s="987"/>
      <c r="F134" s="988"/>
      <c r="G134" s="974"/>
      <c r="H134" s="974"/>
      <c r="I134" s="974"/>
      <c r="J134" s="974"/>
      <c r="K134" s="2612"/>
      <c r="L134" s="989">
        <f>L113</f>
        <v>16.456</v>
      </c>
      <c r="M134" s="974"/>
      <c r="N134" s="974"/>
      <c r="O134" s="990">
        <f>O113</f>
        <v>16.456</v>
      </c>
    </row>
    <row r="135" spans="2:15">
      <c r="B135" s="2271"/>
      <c r="C135" s="986" t="s">
        <v>803</v>
      </c>
      <c r="D135" s="987"/>
      <c r="E135" s="987"/>
      <c r="F135" s="988"/>
      <c r="G135" s="974"/>
      <c r="H135" s="974"/>
      <c r="I135" s="974"/>
      <c r="J135" s="974"/>
      <c r="K135" s="2612"/>
      <c r="L135" s="991">
        <f>L123</f>
        <v>73.890386557377056</v>
      </c>
      <c r="M135" s="974"/>
      <c r="N135" s="974"/>
      <c r="O135" s="992">
        <f>O116</f>
        <v>82.100429508196726</v>
      </c>
    </row>
    <row r="136" spans="2:15" ht="14.25" thickBot="1">
      <c r="B136" s="2458"/>
      <c r="C136" s="993" t="s">
        <v>530</v>
      </c>
      <c r="D136" s="994"/>
      <c r="E136" s="995"/>
      <c r="F136" s="996"/>
      <c r="G136" s="2459"/>
      <c r="H136" s="2459"/>
      <c r="I136" s="2459"/>
      <c r="J136" s="2459"/>
      <c r="K136" s="2459"/>
      <c r="L136" s="997">
        <f>IF(COUNTIF(L133:L135,$R$115)&gt;0,$R$115,SUM(L133:L135))</f>
        <v>103.57638655737705</v>
      </c>
      <c r="M136" s="998"/>
      <c r="N136" s="998"/>
      <c r="O136" s="999">
        <f>IF(COUNTIF(O133:O135,$R$115)&gt;0,$R$115,SUM(O133:O135))</f>
        <v>111.78642950819673</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9DA9" sheet="1" objects="1" scenarios="1"/>
  <mergeCells count="4">
    <mergeCell ref="L2:M2"/>
    <mergeCell ref="N2:O2"/>
    <mergeCell ref="L3:M3"/>
    <mergeCell ref="B3:E3"/>
  </mergeCells>
  <phoneticPr fontId="21"/>
  <conditionalFormatting sqref="E135 E133">
    <cfRule type="cellIs" dxfId="5" priority="1" stopIfTrue="1" operator="equal">
      <formula>5</formula>
    </cfRule>
    <cfRule type="cellIs" dxfId="4" priority="2" stopIfTrue="1" operator="equal">
      <formula>4</formula>
    </cfRule>
    <cfRule type="cellIs" dxfId="3"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verticalDpi="300" r:id="rId1"/>
  <headerFooter alignWithMargins="0">
    <oddHeader>&amp;L&amp;F&amp;R&amp;A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F219"/>
  <sheetViews>
    <sheetView showGridLines="0" zoomScaleNormal="100" zoomScaleSheetLayoutView="100" workbookViewId="0"/>
  </sheetViews>
  <sheetFormatPr defaultColWidth="0" defaultRowHeight="13.5" zeroHeight="1"/>
  <cols>
    <col min="1" max="1" width="1.25" customWidth="1"/>
    <col min="2" max="2" width="7.25" style="2013" customWidth="1"/>
    <col min="3" max="3" width="37" style="2014" customWidth="1"/>
    <col min="4" max="4" width="8.875" style="2015" bestFit="1" customWidth="1"/>
    <col min="5" max="5" width="8.875" style="2016" bestFit="1" customWidth="1"/>
    <col min="6" max="6" width="1.625" customWidth="1"/>
    <col min="7" max="14" width="7.875" style="2016" customWidth="1"/>
    <col min="15" max="15" width="2.625" customWidth="1"/>
    <col min="16" max="16" width="5.875" style="2017" customWidth="1"/>
    <col min="17" max="17" width="7.875" style="2017" customWidth="1"/>
    <col min="18" max="18" width="37.25" style="2018" customWidth="1"/>
    <col min="19" max="31" width="6.625" style="2019" customWidth="1"/>
    <col min="32" max="32" width="1.625" customWidth="1"/>
    <col min="33" max="33" width="10.5" style="2020" hidden="1" customWidth="1"/>
    <col min="34" max="34" width="6.875" style="144" hidden="1" customWidth="1"/>
    <col min="35" max="35" width="40.625" style="2021" hidden="1" customWidth="1"/>
    <col min="36" max="36" width="6.375" style="144" hidden="1" customWidth="1"/>
    <col min="37" max="37" width="5.625" style="144" hidden="1" customWidth="1"/>
    <col min="38" max="39" width="6.375" style="144" hidden="1" customWidth="1"/>
    <col min="40" max="40" width="5.625" style="144" hidden="1" customWidth="1"/>
    <col min="41" max="41" width="6.125" style="144" hidden="1" customWidth="1"/>
    <col min="42" max="42" width="8" style="144" hidden="1" customWidth="1"/>
    <col min="43" max="43" width="6.375" style="144" hidden="1" customWidth="1"/>
    <col min="44" max="44" width="5.625" style="144" hidden="1" customWidth="1"/>
    <col min="45" max="45" width="6.375" style="144" hidden="1" customWidth="1"/>
    <col min="46" max="46" width="5.625" style="144" hidden="1" customWidth="1"/>
    <col min="47" max="47" width="7" style="144" hidden="1" customWidth="1"/>
    <col min="48" max="48" width="8.875" style="144" hidden="1" customWidth="1"/>
    <col min="49" max="49" width="1.375" hidden="1" customWidth="1"/>
    <col min="50" max="50" width="6.875" style="2020" hidden="1" customWidth="1"/>
    <col min="51" max="51" width="6.875" style="144" hidden="1" customWidth="1"/>
    <col min="52" max="52" width="37.375" style="2021" hidden="1" customWidth="1"/>
    <col min="53" max="65" width="6.625" style="144" hidden="1" customWidth="1"/>
    <col min="66" max="66" width="1.375" customWidth="1"/>
    <col min="67" max="67" width="6.125" style="2020" customWidth="1"/>
    <col min="68" max="68" width="6.875" style="144" bestFit="1" customWidth="1"/>
    <col min="69" max="69" width="37.625" style="2021" customWidth="1"/>
    <col min="70" max="82" width="6.625" style="144" customWidth="1"/>
    <col min="83" max="83" width="1.875" style="1502" customWidth="1"/>
    <col min="84" max="84" width="4.75" hidden="1" customWidth="1"/>
    <col min="85" max="16384" width="0" style="1502" hidden="1"/>
  </cols>
  <sheetData>
    <row r="1" spans="1:84"/>
    <row r="2" spans="1:84" s="2034" customFormat="1" ht="17.25">
      <c r="A2"/>
      <c r="B2" s="2022" t="s">
        <v>1295</v>
      </c>
      <c r="C2" s="2023"/>
      <c r="D2" s="2024"/>
      <c r="E2" s="2025"/>
      <c r="F2"/>
      <c r="G2" s="2025"/>
      <c r="H2" s="2025"/>
      <c r="I2" s="2026"/>
      <c r="J2" s="2026"/>
      <c r="K2" s="2025"/>
      <c r="L2" s="2025"/>
      <c r="M2" s="2025"/>
      <c r="N2" s="2025"/>
      <c r="O2"/>
      <c r="P2" s="2027" t="s">
        <v>1296</v>
      </c>
      <c r="Q2" s="2028"/>
      <c r="R2" s="2029"/>
      <c r="S2" s="2030"/>
      <c r="T2" s="2031"/>
      <c r="U2" s="2031"/>
      <c r="V2" s="2031"/>
      <c r="W2" s="2031"/>
      <c r="X2" s="2031"/>
      <c r="Y2" s="2031"/>
      <c r="Z2" s="2031"/>
      <c r="AA2" s="2031"/>
      <c r="AB2" s="2031"/>
      <c r="AC2" s="2031"/>
      <c r="AD2" s="2031"/>
      <c r="AE2" s="2031"/>
      <c r="AF2"/>
      <c r="AG2" s="2032"/>
      <c r="AH2" s="2030"/>
      <c r="AI2" s="2033"/>
      <c r="AJ2" s="2030"/>
      <c r="AK2" s="2030"/>
      <c r="AL2" s="2030"/>
      <c r="AM2" s="2030"/>
      <c r="AN2" s="2030"/>
      <c r="AO2" s="2030"/>
      <c r="AP2" s="2030"/>
      <c r="AQ2" s="2030"/>
      <c r="AR2" s="2030"/>
      <c r="AS2" s="2030"/>
      <c r="AT2" s="2030"/>
      <c r="AU2" s="2030"/>
      <c r="AV2" s="2030"/>
      <c r="AW2"/>
      <c r="AX2" s="2032"/>
      <c r="AY2" s="2030"/>
      <c r="AZ2" s="2033"/>
      <c r="BA2" s="2030"/>
      <c r="BB2" s="2030"/>
      <c r="BC2" s="2030"/>
      <c r="BD2" s="2030"/>
      <c r="BE2" s="2030"/>
      <c r="BF2" s="2030"/>
      <c r="BG2" s="2030"/>
      <c r="BH2" s="2030"/>
      <c r="BI2" s="2030"/>
      <c r="BJ2" s="2030"/>
      <c r="BK2" s="2030"/>
      <c r="BL2" s="2030"/>
      <c r="BM2" s="2030"/>
      <c r="BN2"/>
      <c r="BO2" s="2032"/>
      <c r="BP2" s="2030"/>
      <c r="BQ2" s="2033"/>
      <c r="BR2" s="2030"/>
      <c r="BS2" s="2030"/>
      <c r="BT2" s="2030"/>
      <c r="BU2" s="2030"/>
      <c r="BV2" s="2030"/>
      <c r="BW2" s="2030"/>
      <c r="BX2" s="2030"/>
      <c r="BY2" s="2030"/>
      <c r="BZ2" s="2030"/>
      <c r="CA2" s="2030"/>
      <c r="CB2" s="2030"/>
      <c r="CC2" s="2030"/>
      <c r="CD2" s="2030"/>
      <c r="CF2"/>
    </row>
    <row r="3" spans="1:84" s="2034" customFormat="1" ht="17.25">
      <c r="A3"/>
      <c r="B3" s="2022"/>
      <c r="C3" s="2023"/>
      <c r="D3" s="2024"/>
      <c r="E3" s="2025"/>
      <c r="F3"/>
      <c r="G3" s="2025"/>
      <c r="H3" s="2025"/>
      <c r="I3" s="2026"/>
      <c r="J3" s="2026"/>
      <c r="K3" s="2025"/>
      <c r="L3" s="2025"/>
      <c r="M3" s="2025"/>
      <c r="N3" s="2025"/>
      <c r="O3"/>
      <c r="P3" s="2035">
        <f>メイン!I42</f>
        <v>2</v>
      </c>
      <c r="Q3" s="946" t="str">
        <f>LEFT(メイン!C5,6)</f>
        <v>CASBEE</v>
      </c>
      <c r="R3" s="2036"/>
      <c r="S3" s="2037"/>
      <c r="T3" s="2031"/>
      <c r="U3" s="2031"/>
      <c r="V3" s="2031"/>
      <c r="W3" s="2031"/>
      <c r="X3" s="2031"/>
      <c r="Y3" s="2031"/>
      <c r="Z3" s="2031"/>
      <c r="AA3" s="2031"/>
      <c r="AB3" s="2031"/>
      <c r="AC3" s="2031"/>
      <c r="AD3" s="2031"/>
      <c r="AE3" s="2031"/>
      <c r="AF3"/>
      <c r="AG3" s="2035" t="s">
        <v>1297</v>
      </c>
      <c r="AH3" s="2030"/>
      <c r="AI3" s="2038"/>
      <c r="AJ3" s="2031"/>
      <c r="AK3" s="2031"/>
      <c r="AL3" s="2031"/>
      <c r="AM3" s="2031"/>
      <c r="AN3" s="2031"/>
      <c r="AO3" s="2031"/>
      <c r="AP3" s="2031"/>
      <c r="AQ3" s="2031"/>
      <c r="AR3" s="2031"/>
      <c r="AS3" s="2031"/>
      <c r="AT3" s="2031"/>
      <c r="AU3" s="2031"/>
      <c r="AV3" s="2031"/>
      <c r="AW3"/>
      <c r="AX3" s="2035" t="s">
        <v>1298</v>
      </c>
      <c r="AY3" s="2030"/>
      <c r="AZ3" s="2038"/>
      <c r="BA3" s="2031"/>
      <c r="BB3" s="2031"/>
      <c r="BC3" s="2031"/>
      <c r="BD3" s="2031"/>
      <c r="BE3" s="2031"/>
      <c r="BF3" s="2031"/>
      <c r="BG3" s="2031"/>
      <c r="BH3" s="2031"/>
      <c r="BI3" s="2031"/>
      <c r="BJ3" s="2031"/>
      <c r="BK3" s="2031"/>
      <c r="BL3" s="2031"/>
      <c r="BM3" s="2031"/>
      <c r="BN3"/>
      <c r="BO3" s="2035" t="s">
        <v>1299</v>
      </c>
      <c r="BP3" s="2030"/>
      <c r="BQ3" s="2038"/>
      <c r="BR3" s="2031"/>
      <c r="BS3" s="2031"/>
      <c r="BT3" s="2031"/>
      <c r="BU3" s="2031"/>
      <c r="BV3" s="2031"/>
      <c r="BW3" s="2031"/>
      <c r="BX3" s="2031"/>
      <c r="BY3" s="2031"/>
      <c r="BZ3" s="2031"/>
      <c r="CA3" s="2031"/>
      <c r="CB3" s="2031"/>
      <c r="CC3" s="2031"/>
      <c r="CD3" s="2031"/>
      <c r="CE3" s="2031"/>
      <c r="CF3"/>
    </row>
    <row r="4" spans="1:84" s="2034" customFormat="1" ht="4.5" customHeight="1">
      <c r="A4"/>
      <c r="B4" s="2022"/>
      <c r="C4" s="2023"/>
      <c r="D4" s="2024"/>
      <c r="E4" s="2025"/>
      <c r="F4"/>
      <c r="G4" s="2025"/>
      <c r="H4" s="2025"/>
      <c r="I4" s="2026"/>
      <c r="J4" s="2026"/>
      <c r="K4" s="2025"/>
      <c r="L4" s="2025"/>
      <c r="M4" s="2025"/>
      <c r="N4" s="2025"/>
      <c r="O4"/>
      <c r="P4" s="2028"/>
      <c r="Q4" s="2028"/>
      <c r="R4" s="2038"/>
      <c r="S4" s="2031"/>
      <c r="T4" s="2031"/>
      <c r="U4" s="2031"/>
      <c r="V4" s="2031"/>
      <c r="W4" s="2031"/>
      <c r="X4" s="2031"/>
      <c r="Y4" s="2031"/>
      <c r="Z4" s="2031"/>
      <c r="AA4" s="2031"/>
      <c r="AB4" s="2031"/>
      <c r="AC4" s="2031"/>
      <c r="AD4" s="2031"/>
      <c r="AE4" s="2031"/>
      <c r="AF4"/>
      <c r="AG4" s="2035"/>
      <c r="AH4" s="2028"/>
      <c r="AI4" s="2038"/>
      <c r="AJ4" s="2031"/>
      <c r="AK4" s="2031"/>
      <c r="AL4" s="2031"/>
      <c r="AM4" s="2031"/>
      <c r="AN4" s="2031"/>
      <c r="AO4" s="2031"/>
      <c r="AP4" s="2031"/>
      <c r="AQ4" s="2031"/>
      <c r="AR4" s="2031"/>
      <c r="AS4" s="2031"/>
      <c r="AT4" s="2031"/>
      <c r="AU4" s="2031"/>
      <c r="AV4" s="2031"/>
      <c r="AW4"/>
      <c r="AX4" s="2035"/>
      <c r="AY4" s="2028"/>
      <c r="AZ4" s="2038"/>
      <c r="BA4" s="2031"/>
      <c r="BB4" s="2031"/>
      <c r="BC4" s="2031"/>
      <c r="BD4" s="2031"/>
      <c r="BE4" s="2031"/>
      <c r="BF4" s="2031"/>
      <c r="BG4" s="2031"/>
      <c r="BH4" s="2031"/>
      <c r="BI4" s="2031"/>
      <c r="BJ4" s="2031"/>
      <c r="BK4" s="2031"/>
      <c r="BL4" s="2031"/>
      <c r="BM4" s="2031"/>
      <c r="BN4"/>
      <c r="BO4" s="2035"/>
      <c r="BP4" s="2028"/>
      <c r="BQ4" s="2038"/>
      <c r="BR4" s="2031"/>
      <c r="BS4" s="2031"/>
      <c r="BT4" s="2031"/>
      <c r="BU4" s="2031"/>
      <c r="BV4" s="2031"/>
      <c r="BW4" s="2031"/>
      <c r="BX4" s="2031"/>
      <c r="BY4" s="2031"/>
      <c r="BZ4" s="2031"/>
      <c r="CA4" s="2031"/>
      <c r="CB4" s="2031"/>
      <c r="CC4" s="2031"/>
      <c r="CD4" s="2031"/>
      <c r="CE4" s="2031"/>
      <c r="CF4"/>
    </row>
    <row r="5" spans="1:84">
      <c r="B5" s="2039"/>
      <c r="C5" s="2040"/>
      <c r="D5" s="2041" t="s">
        <v>1300</v>
      </c>
      <c r="E5" s="2042"/>
      <c r="G5" s="2043" t="s">
        <v>1301</v>
      </c>
      <c r="H5" s="2044"/>
      <c r="I5" s="2045" t="s">
        <v>1302</v>
      </c>
      <c r="J5" s="2046"/>
      <c r="K5" s="2043" t="s">
        <v>1303</v>
      </c>
      <c r="L5" s="2044"/>
      <c r="M5" s="2043" t="s">
        <v>1304</v>
      </c>
      <c r="N5" s="2044"/>
      <c r="P5" s="2047"/>
      <c r="Q5" s="2047"/>
      <c r="R5" s="2048"/>
      <c r="S5" s="3358" t="s">
        <v>1019</v>
      </c>
      <c r="T5" s="3358"/>
      <c r="U5" s="3358"/>
      <c r="V5" s="3358"/>
      <c r="W5" s="3358"/>
      <c r="X5" s="3358"/>
      <c r="Y5" s="3358"/>
      <c r="Z5" s="3358"/>
      <c r="AA5" s="3359"/>
      <c r="AB5" s="2049" t="s">
        <v>1020</v>
      </c>
      <c r="AC5" s="3358" t="s">
        <v>1021</v>
      </c>
      <c r="AD5" s="3358"/>
      <c r="AE5" s="3358"/>
      <c r="AG5" s="2050"/>
      <c r="AH5" s="2047"/>
      <c r="AI5" s="2051"/>
      <c r="AJ5" s="3358" t="s">
        <v>1019</v>
      </c>
      <c r="AK5" s="3358"/>
      <c r="AL5" s="3358"/>
      <c r="AM5" s="3358"/>
      <c r="AN5" s="3358"/>
      <c r="AO5" s="3358"/>
      <c r="AP5" s="3358"/>
      <c r="AQ5" s="3358"/>
      <c r="AR5" s="3359"/>
      <c r="AS5" s="2049" t="s">
        <v>1020</v>
      </c>
      <c r="AT5" s="3358" t="s">
        <v>1021</v>
      </c>
      <c r="AU5" s="3358"/>
      <c r="AV5" s="3358"/>
      <c r="AX5" s="2050"/>
      <c r="AY5" s="2047"/>
      <c r="AZ5" s="2051"/>
      <c r="BA5" s="3358" t="s">
        <v>1019</v>
      </c>
      <c r="BB5" s="3358"/>
      <c r="BC5" s="3358"/>
      <c r="BD5" s="3358"/>
      <c r="BE5" s="3358"/>
      <c r="BF5" s="3358"/>
      <c r="BG5" s="3358"/>
      <c r="BH5" s="3358"/>
      <c r="BI5" s="3359"/>
      <c r="BJ5" s="2049" t="s">
        <v>1020</v>
      </c>
      <c r="BK5" s="3358" t="s">
        <v>1021</v>
      </c>
      <c r="BL5" s="3358"/>
      <c r="BM5" s="3358"/>
      <c r="BO5" s="2050"/>
      <c r="BP5" s="2047"/>
      <c r="BQ5" s="2051"/>
      <c r="BR5" s="3358" t="s">
        <v>1019</v>
      </c>
      <c r="BS5" s="3358"/>
      <c r="BT5" s="3358"/>
      <c r="BU5" s="3358"/>
      <c r="BV5" s="3358"/>
      <c r="BW5" s="3358"/>
      <c r="BX5" s="3358"/>
      <c r="BY5" s="3358"/>
      <c r="BZ5" s="3359"/>
      <c r="CA5" s="2049" t="s">
        <v>1020</v>
      </c>
      <c r="CB5" s="3358" t="s">
        <v>1021</v>
      </c>
      <c r="CC5" s="3358"/>
      <c r="CD5" s="3358"/>
      <c r="CE5" s="2548"/>
    </row>
    <row r="6" spans="1:84" s="2059" customFormat="1">
      <c r="A6"/>
      <c r="B6" s="2052"/>
      <c r="C6" s="2053"/>
      <c r="D6" s="2054" t="s">
        <v>1022</v>
      </c>
      <c r="E6" s="2054" t="s">
        <v>1023</v>
      </c>
      <c r="F6"/>
      <c r="G6" s="2054" t="s">
        <v>1022</v>
      </c>
      <c r="H6" s="2054" t="s">
        <v>1023</v>
      </c>
      <c r="I6" s="2054" t="s">
        <v>1022</v>
      </c>
      <c r="J6" s="2054" t="s">
        <v>1023</v>
      </c>
      <c r="K6" s="2054" t="s">
        <v>1022</v>
      </c>
      <c r="L6" s="2054" t="s">
        <v>1023</v>
      </c>
      <c r="M6" s="2054" t="s">
        <v>1022</v>
      </c>
      <c r="N6" s="2054" t="s">
        <v>1023</v>
      </c>
      <c r="O6"/>
      <c r="P6" s="2048"/>
      <c r="Q6" s="2048" t="s">
        <v>2347</v>
      </c>
      <c r="R6" s="2048" t="s">
        <v>1024</v>
      </c>
      <c r="S6" s="2055" t="s">
        <v>512</v>
      </c>
      <c r="T6" s="2055" t="s">
        <v>514</v>
      </c>
      <c r="U6" s="2055" t="s">
        <v>516</v>
      </c>
      <c r="V6" s="2055" t="s">
        <v>518</v>
      </c>
      <c r="W6" s="2055" t="s">
        <v>522</v>
      </c>
      <c r="X6" s="2055" t="s">
        <v>524</v>
      </c>
      <c r="Y6" s="2055" t="s">
        <v>526</v>
      </c>
      <c r="Z6" s="2056" t="s">
        <v>2129</v>
      </c>
      <c r="AA6" s="2055" t="s">
        <v>528</v>
      </c>
      <c r="AB6" s="2055" t="s">
        <v>514</v>
      </c>
      <c r="AC6" s="2057" t="s">
        <v>2319</v>
      </c>
      <c r="AD6" s="2055" t="s">
        <v>266</v>
      </c>
      <c r="AE6" s="2055" t="s">
        <v>267</v>
      </c>
      <c r="AF6"/>
      <c r="AG6" s="2058"/>
      <c r="AH6" s="2048" t="s">
        <v>2347</v>
      </c>
      <c r="AI6" s="2051" t="s">
        <v>1024</v>
      </c>
      <c r="AJ6" s="2055" t="s">
        <v>512</v>
      </c>
      <c r="AK6" s="2055" t="s">
        <v>514</v>
      </c>
      <c r="AL6" s="2055" t="s">
        <v>516</v>
      </c>
      <c r="AM6" s="2055" t="s">
        <v>518</v>
      </c>
      <c r="AN6" s="2055" t="s">
        <v>522</v>
      </c>
      <c r="AO6" s="2055" t="s">
        <v>524</v>
      </c>
      <c r="AP6" s="2055" t="s">
        <v>526</v>
      </c>
      <c r="AQ6" s="2056" t="s">
        <v>2129</v>
      </c>
      <c r="AR6" s="2055" t="s">
        <v>528</v>
      </c>
      <c r="AS6" s="2055" t="s">
        <v>514</v>
      </c>
      <c r="AT6" s="2057" t="s">
        <v>2319</v>
      </c>
      <c r="AU6" s="2055" t="s">
        <v>266</v>
      </c>
      <c r="AV6" s="2055" t="s">
        <v>267</v>
      </c>
      <c r="AW6"/>
      <c r="AX6" s="2058"/>
      <c r="AY6" s="2048" t="s">
        <v>2347</v>
      </c>
      <c r="AZ6" s="2051" t="s">
        <v>1024</v>
      </c>
      <c r="BA6" s="2055" t="s">
        <v>512</v>
      </c>
      <c r="BB6" s="2055" t="s">
        <v>514</v>
      </c>
      <c r="BC6" s="2055" t="s">
        <v>516</v>
      </c>
      <c r="BD6" s="2055" t="s">
        <v>518</v>
      </c>
      <c r="BE6" s="2055" t="s">
        <v>522</v>
      </c>
      <c r="BF6" s="2055" t="s">
        <v>524</v>
      </c>
      <c r="BG6" s="2055" t="s">
        <v>526</v>
      </c>
      <c r="BH6" s="2056" t="s">
        <v>2129</v>
      </c>
      <c r="BI6" s="2055" t="s">
        <v>528</v>
      </c>
      <c r="BJ6" s="2055" t="s">
        <v>514</v>
      </c>
      <c r="BK6" s="2057" t="s">
        <v>2319</v>
      </c>
      <c r="BL6" s="2055" t="s">
        <v>266</v>
      </c>
      <c r="BM6" s="2055" t="s">
        <v>267</v>
      </c>
      <c r="BN6"/>
      <c r="BO6" s="2058"/>
      <c r="BP6" s="2048" t="s">
        <v>2347</v>
      </c>
      <c r="BQ6" s="2051" t="s">
        <v>1024</v>
      </c>
      <c r="BR6" s="2055" t="s">
        <v>512</v>
      </c>
      <c r="BS6" s="2055" t="s">
        <v>514</v>
      </c>
      <c r="BT6" s="2055" t="s">
        <v>516</v>
      </c>
      <c r="BU6" s="2055" t="s">
        <v>518</v>
      </c>
      <c r="BV6" s="2055" t="s">
        <v>522</v>
      </c>
      <c r="BW6" s="2055" t="s">
        <v>524</v>
      </c>
      <c r="BX6" s="2055" t="s">
        <v>526</v>
      </c>
      <c r="BY6" s="2056" t="s">
        <v>2129</v>
      </c>
      <c r="BZ6" s="2055" t="s">
        <v>528</v>
      </c>
      <c r="CA6" s="2055" t="s">
        <v>514</v>
      </c>
      <c r="CB6" s="2057" t="s">
        <v>2319</v>
      </c>
      <c r="CC6" s="2055" t="s">
        <v>266</v>
      </c>
      <c r="CD6" s="2055" t="s">
        <v>267</v>
      </c>
      <c r="CE6" s="2549"/>
      <c r="CF6"/>
    </row>
    <row r="7" spans="1:84">
      <c r="B7" s="2060"/>
      <c r="C7" s="2061" t="s">
        <v>268</v>
      </c>
      <c r="D7" s="2062">
        <f>1-E7</f>
        <v>1</v>
      </c>
      <c r="E7" s="2063">
        <f>(AC8*W7)+(AD8*X7)+(AE8*Y7)</f>
        <v>0</v>
      </c>
      <c r="G7" s="2063"/>
      <c r="H7" s="2063"/>
      <c r="I7" s="2063"/>
      <c r="J7" s="2063"/>
      <c r="K7" s="2063"/>
      <c r="L7" s="2063"/>
      <c r="M7" s="2063"/>
      <c r="N7" s="2063"/>
      <c r="P7" s="2047"/>
      <c r="Q7" s="2047" t="s">
        <v>1025</v>
      </c>
      <c r="R7" s="2048" t="s">
        <v>1026</v>
      </c>
      <c r="S7" s="2064">
        <f>メイン!C47/メイン!$C$19</f>
        <v>1</v>
      </c>
      <c r="T7" s="2064">
        <f>(メイン!E49+メイン!E52+メイン!E53)/メイン!$C$19</f>
        <v>0</v>
      </c>
      <c r="U7" s="2064">
        <f>メイン!C54/メイン!$C$19</f>
        <v>0</v>
      </c>
      <c r="V7" s="2064">
        <f>メイン!C56/メイン!$C$19</f>
        <v>0</v>
      </c>
      <c r="W7" s="2064">
        <f>メイン!C61/メイン!$C$19</f>
        <v>0</v>
      </c>
      <c r="X7" s="2064">
        <f>メイン!C62/メイン!$C$19</f>
        <v>0</v>
      </c>
      <c r="Y7" s="2064">
        <f>メイン!C64/メイン!$C$19</f>
        <v>0</v>
      </c>
      <c r="Z7" s="2064">
        <f>メイン!C57/メイン!$C$19</f>
        <v>0</v>
      </c>
      <c r="AA7" s="2064">
        <f>メイン!C60/メイン!$C$19</f>
        <v>0</v>
      </c>
      <c r="AB7" s="2064">
        <f>(メイン!E50+メイン!E51)/メイン!$C$19</f>
        <v>0</v>
      </c>
      <c r="AC7" s="2064">
        <f>W7</f>
        <v>0</v>
      </c>
      <c r="AD7" s="2064">
        <f>X7</f>
        <v>0</v>
      </c>
      <c r="AE7" s="2064">
        <f>Y7</f>
        <v>0</v>
      </c>
      <c r="AG7" s="2050"/>
      <c r="AH7" s="2047"/>
      <c r="AI7" s="2051"/>
      <c r="AJ7" s="2066"/>
      <c r="AK7" s="2066"/>
      <c r="AL7" s="2066"/>
      <c r="AM7" s="2066"/>
      <c r="AN7" s="2066"/>
      <c r="AO7" s="2066"/>
      <c r="AP7" s="2066"/>
      <c r="AQ7" s="2067"/>
      <c r="AR7" s="2066"/>
      <c r="AS7" s="2066"/>
      <c r="AT7" s="2066"/>
      <c r="AU7" s="2066"/>
      <c r="AV7" s="2066"/>
      <c r="AX7" s="2050"/>
      <c r="AY7" s="2047"/>
      <c r="AZ7" s="2051"/>
      <c r="BA7" s="2066"/>
      <c r="BB7" s="2066"/>
      <c r="BC7" s="2066"/>
      <c r="BD7" s="2066"/>
      <c r="BE7" s="2066"/>
      <c r="BF7" s="2066"/>
      <c r="BG7" s="2066"/>
      <c r="BH7" s="2067"/>
      <c r="BI7" s="2066"/>
      <c r="BJ7" s="2066"/>
      <c r="BK7" s="2066"/>
      <c r="BL7" s="2066"/>
      <c r="BM7" s="2066"/>
      <c r="BO7" s="2050"/>
      <c r="BP7" s="2047"/>
      <c r="BQ7" s="2051"/>
      <c r="BR7" s="2066"/>
      <c r="BS7" s="2066"/>
      <c r="BT7" s="2066"/>
      <c r="BU7" s="2066"/>
      <c r="BV7" s="2066"/>
      <c r="BW7" s="2066"/>
      <c r="BX7" s="2066"/>
      <c r="BY7" s="2067"/>
      <c r="BZ7" s="2066"/>
      <c r="CA7" s="2066"/>
      <c r="CB7" s="2066"/>
      <c r="CC7" s="2066"/>
      <c r="CD7" s="2066"/>
      <c r="CE7" s="2550"/>
    </row>
    <row r="8" spans="1:84" s="1485" customFormat="1" ht="14.25">
      <c r="A8"/>
      <c r="B8" s="2068" t="s">
        <v>269</v>
      </c>
      <c r="C8" s="2069" t="s">
        <v>1036</v>
      </c>
      <c r="D8" s="2070"/>
      <c r="E8" s="2071"/>
      <c r="F8"/>
      <c r="G8" s="2071"/>
      <c r="H8" s="2071"/>
      <c r="I8" s="2071">
        <f>G9+G61+G109</f>
        <v>1</v>
      </c>
      <c r="J8" s="2071">
        <f>H9+H61+H109</f>
        <v>0</v>
      </c>
      <c r="K8" s="2071"/>
      <c r="L8" s="2071"/>
      <c r="M8" s="2071"/>
      <c r="N8" s="2071"/>
      <c r="O8"/>
      <c r="P8" s="2068"/>
      <c r="Q8" s="2068" t="s">
        <v>270</v>
      </c>
      <c r="R8" s="2048" t="s">
        <v>1037</v>
      </c>
      <c r="S8" s="2064"/>
      <c r="T8" s="2064"/>
      <c r="U8" s="2064"/>
      <c r="V8" s="2064"/>
      <c r="W8" s="2064">
        <f>1-メイン!F68</f>
        <v>1</v>
      </c>
      <c r="X8" s="2064">
        <f>1-メイン!F69</f>
        <v>1</v>
      </c>
      <c r="Y8" s="2064">
        <f>1-メイン!F70</f>
        <v>1</v>
      </c>
      <c r="Z8" s="2065"/>
      <c r="AA8" s="2064"/>
      <c r="AB8" s="2064"/>
      <c r="AC8" s="2072">
        <f>メイン!F68</f>
        <v>0</v>
      </c>
      <c r="AD8" s="2073">
        <f>メイン!F69</f>
        <v>0</v>
      </c>
      <c r="AE8" s="2064">
        <f>メイン!F70</f>
        <v>0</v>
      </c>
      <c r="AF8"/>
      <c r="AG8" s="2074" t="s">
        <v>271</v>
      </c>
      <c r="AH8" s="2068"/>
      <c r="AI8" s="2075" t="s">
        <v>272</v>
      </c>
      <c r="AJ8" s="2076"/>
      <c r="AK8" s="2076"/>
      <c r="AL8" s="2076"/>
      <c r="AM8" s="2076"/>
      <c r="AN8" s="2076"/>
      <c r="AO8" s="2076"/>
      <c r="AP8" s="2076"/>
      <c r="AQ8" s="2077"/>
      <c r="AR8" s="2076"/>
      <c r="AS8" s="2076"/>
      <c r="AT8" s="2078"/>
      <c r="AU8" s="2079"/>
      <c r="AV8" s="2079"/>
      <c r="AW8"/>
      <c r="AX8" s="2074" t="s">
        <v>271</v>
      </c>
      <c r="AY8" s="2068"/>
      <c r="AZ8" s="2075" t="s">
        <v>272</v>
      </c>
      <c r="BA8" s="2076"/>
      <c r="BB8" s="2076"/>
      <c r="BC8" s="2076"/>
      <c r="BD8" s="2076"/>
      <c r="BE8" s="2076"/>
      <c r="BF8" s="2076"/>
      <c r="BG8" s="2076"/>
      <c r="BH8" s="2077"/>
      <c r="BI8" s="2076"/>
      <c r="BJ8" s="2076"/>
      <c r="BK8" s="2078"/>
      <c r="BL8" s="2079"/>
      <c r="BM8" s="2079"/>
      <c r="BN8"/>
      <c r="BO8" s="2074" t="s">
        <v>271</v>
      </c>
      <c r="BP8" s="2068"/>
      <c r="BQ8" s="2075" t="s">
        <v>272</v>
      </c>
      <c r="BR8" s="2076"/>
      <c r="BS8" s="2076"/>
      <c r="BT8" s="2076"/>
      <c r="BU8" s="2076"/>
      <c r="BV8" s="2076"/>
      <c r="BW8" s="2076"/>
      <c r="BX8" s="2076"/>
      <c r="BY8" s="2077"/>
      <c r="BZ8" s="2076"/>
      <c r="CA8" s="2076"/>
      <c r="CB8" s="2078"/>
      <c r="CC8" s="2079"/>
      <c r="CD8" s="2079"/>
      <c r="CE8" s="2551"/>
      <c r="CF8"/>
    </row>
    <row r="9" spans="1:84" s="1485" customFormat="1">
      <c r="A9"/>
      <c r="B9" s="2080" t="str">
        <f t="shared" ref="B9:B41" si="0">P9</f>
        <v>Q1</v>
      </c>
      <c r="C9" s="2081" t="str">
        <f t="shared" ref="C9:C40" si="1">R9</f>
        <v>室内環境</v>
      </c>
      <c r="D9" s="2082">
        <f>IF(I$8=0,0,G9/I$8)</f>
        <v>0.4</v>
      </c>
      <c r="E9" s="2083">
        <f>IF(J$8=0,0,H9/J$8)</f>
        <v>0</v>
      </c>
      <c r="F9"/>
      <c r="G9" s="2083">
        <f t="shared" ref="G9:G40" si="2">K9*M9</f>
        <v>0.4</v>
      </c>
      <c r="H9" s="2083">
        <f t="shared" ref="H9:H40" si="3">L9*N9</f>
        <v>0</v>
      </c>
      <c r="I9" s="2083">
        <f>G10+G20+G34+G47</f>
        <v>1</v>
      </c>
      <c r="J9" s="2083">
        <f>H10+H20+H34+H47</f>
        <v>0</v>
      </c>
      <c r="K9" s="2083">
        <f>IF(スコア!Q9=0,0,1)</f>
        <v>1</v>
      </c>
      <c r="L9" s="2083">
        <f>IF(スコア!O9=0,0,1)</f>
        <v>0</v>
      </c>
      <c r="M9" s="2083">
        <f t="shared" ref="M9:M40" si="4">SUMPRODUCT($S$7:$AB$7,S9:AB9)</f>
        <v>0.4</v>
      </c>
      <c r="N9" s="2083">
        <f t="shared" ref="N9:N40" si="5">(AC$7*AC9)+(AD$7*AD9)+(AE$7*AE9)</f>
        <v>0</v>
      </c>
      <c r="O9"/>
      <c r="P9" s="2080" t="str">
        <f t="shared" ref="P9:P72" si="6">IF($P$3=1,AX9,IF($P$3=2,BO9,AG9))</f>
        <v>Q1</v>
      </c>
      <c r="Q9" s="2080" t="str">
        <f t="shared" ref="Q9:Q72" si="7">IF($P$3=1,AY9,IF($P$3=2,BP9,AH9))</f>
        <v xml:space="preserve"> Q</v>
      </c>
      <c r="R9" s="2084" t="str">
        <f t="shared" ref="R9:R40" si="8">IF($P$3=1,AZ9,IF($P$3=2,BQ9,AI9))</f>
        <v>室内環境</v>
      </c>
      <c r="S9" s="2085">
        <f t="shared" ref="S9:S40" si="9">IF($P$3=1,BA9,IF($P$3=2,BR9,AJ9))</f>
        <v>0.4</v>
      </c>
      <c r="T9" s="2085">
        <f t="shared" ref="T9:T40" si="10">IF($P$3=1,BB9,IF($P$3=2,BS9,AK9))</f>
        <v>0.4</v>
      </c>
      <c r="U9" s="2085">
        <f t="shared" ref="U9:U40" si="11">IF($P$3=1,BC9,IF($P$3=2,BT9,AL9))</f>
        <v>0.4</v>
      </c>
      <c r="V9" s="2085">
        <f t="shared" ref="V9:V40" si="12">IF($P$3=1,BD9,IF($P$3=2,BU9,AM9))</f>
        <v>0.4</v>
      </c>
      <c r="W9" s="2085">
        <f t="shared" ref="W9:W40" si="13">IF($P$3=1,BE9,IF($P$3=2,BV9,AN9))</f>
        <v>0.4</v>
      </c>
      <c r="X9" s="2085">
        <f t="shared" ref="X9:X40" si="14">IF($P$3=1,BF9,IF($P$3=2,BW9,AO9))</f>
        <v>0.4</v>
      </c>
      <c r="Y9" s="2085">
        <f t="shared" ref="Y9:Y40" si="15">IF($P$3=1,BG9,IF($P$3=2,BX9,AP9))</f>
        <v>0.4</v>
      </c>
      <c r="Z9" s="2085">
        <f t="shared" ref="Z9:Z40" si="16">IF($P$3=1,BH9,IF($P$3=2,BY9,AQ9))</f>
        <v>0.4</v>
      </c>
      <c r="AA9" s="2679">
        <f>IF(Q3="coCASB",0,IF($P$3=1,BI9,IF($P$3=2,BZ9,AR9)))</f>
        <v>0.3</v>
      </c>
      <c r="AB9" s="2085">
        <f t="shared" ref="AB9:AB40" si="17">IF($P$3=1,BJ9,IF($P$3=2,CA9,AS9))</f>
        <v>0.4</v>
      </c>
      <c r="AC9" s="2086">
        <f t="shared" ref="AC9:AC40" si="18">IF($P$3=1,BK9,IF($P$3=2,CB9,AT9))</f>
        <v>0</v>
      </c>
      <c r="AD9" s="2085">
        <f t="shared" ref="AD9:AD40" si="19">IF($P$3=1,BL9,IF($P$3=2,CC9,AU9))</f>
        <v>0</v>
      </c>
      <c r="AE9" s="2085">
        <f t="shared" ref="AE9:AE40" si="20">IF($P$3=1,BM9,IF($P$3=2,CD9,AV9))</f>
        <v>0</v>
      </c>
      <c r="AF9"/>
      <c r="AG9" s="2080" t="s">
        <v>273</v>
      </c>
      <c r="AH9" s="2087" t="s">
        <v>1038</v>
      </c>
      <c r="AI9" s="2084" t="s">
        <v>274</v>
      </c>
      <c r="AJ9" s="2085">
        <v>0.4</v>
      </c>
      <c r="AK9" s="2085">
        <v>0.4</v>
      </c>
      <c r="AL9" s="2085">
        <v>0.4</v>
      </c>
      <c r="AM9" s="2085">
        <v>0.4</v>
      </c>
      <c r="AN9" s="2085">
        <v>0.4</v>
      </c>
      <c r="AO9" s="2085">
        <v>0.4</v>
      </c>
      <c r="AP9" s="2085">
        <v>0.4</v>
      </c>
      <c r="AQ9" s="2085">
        <v>0.4</v>
      </c>
      <c r="AR9" s="2085">
        <v>0.3</v>
      </c>
      <c r="AS9" s="2088">
        <v>0.4</v>
      </c>
      <c r="AT9" s="2089"/>
      <c r="AU9" s="2088"/>
      <c r="AV9" s="2088"/>
      <c r="AW9"/>
      <c r="AX9" s="2080" t="s">
        <v>273</v>
      </c>
      <c r="AY9" s="2087" t="s">
        <v>1038</v>
      </c>
      <c r="AZ9" s="2084" t="s">
        <v>274</v>
      </c>
      <c r="BA9" s="2088">
        <v>0.4</v>
      </c>
      <c r="BB9" s="2088">
        <v>0.4</v>
      </c>
      <c r="BC9" s="2088">
        <v>0.4</v>
      </c>
      <c r="BD9" s="2088">
        <v>0.4</v>
      </c>
      <c r="BE9" s="2088">
        <v>0.4</v>
      </c>
      <c r="BF9" s="2088">
        <v>0.4</v>
      </c>
      <c r="BG9" s="2088">
        <v>0.4</v>
      </c>
      <c r="BH9" s="2088">
        <v>0.4</v>
      </c>
      <c r="BI9" s="2088">
        <v>0.3</v>
      </c>
      <c r="BJ9" s="2088">
        <v>0.4</v>
      </c>
      <c r="BK9" s="2089"/>
      <c r="BL9" s="2088"/>
      <c r="BM9" s="2088"/>
      <c r="BN9"/>
      <c r="BO9" s="2080" t="s">
        <v>273</v>
      </c>
      <c r="BP9" s="2087" t="s">
        <v>1038</v>
      </c>
      <c r="BQ9" s="2084" t="s">
        <v>274</v>
      </c>
      <c r="BR9" s="2088">
        <v>0.4</v>
      </c>
      <c r="BS9" s="2088">
        <v>0.4</v>
      </c>
      <c r="BT9" s="2088">
        <v>0.4</v>
      </c>
      <c r="BU9" s="2088">
        <v>0.4</v>
      </c>
      <c r="BV9" s="2088">
        <v>0.4</v>
      </c>
      <c r="BW9" s="2088">
        <v>0.4</v>
      </c>
      <c r="BX9" s="2088">
        <v>0.4</v>
      </c>
      <c r="BY9" s="2088">
        <v>0.4</v>
      </c>
      <c r="BZ9" s="2088">
        <v>0.3</v>
      </c>
      <c r="CA9" s="2088">
        <v>0.4</v>
      </c>
      <c r="CB9" s="2089"/>
      <c r="CC9" s="2088"/>
      <c r="CD9" s="2088"/>
      <c r="CE9" s="2552"/>
      <c r="CF9"/>
    </row>
    <row r="10" spans="1:84" s="1485" customFormat="1">
      <c r="A10"/>
      <c r="B10" s="2080">
        <f t="shared" si="0"/>
        <v>1</v>
      </c>
      <c r="C10" s="2090" t="str">
        <f t="shared" si="1"/>
        <v>音環境</v>
      </c>
      <c r="D10" s="2091">
        <f>IF(I$9=0,0,G10/I$9)</f>
        <v>0.15</v>
      </c>
      <c r="E10" s="2092">
        <f>IF(J$9=0,0,H10/J$9)</f>
        <v>0</v>
      </c>
      <c r="F10"/>
      <c r="G10" s="2092">
        <f t="shared" si="2"/>
        <v>0.15</v>
      </c>
      <c r="H10" s="2092">
        <f t="shared" si="3"/>
        <v>0</v>
      </c>
      <c r="I10" s="2093">
        <f>G11+G14+G19</f>
        <v>1</v>
      </c>
      <c r="J10" s="2093">
        <f>H11+H14+H19</f>
        <v>0</v>
      </c>
      <c r="K10" s="2092">
        <f>IF(スコア!M10=0,0,1)</f>
        <v>1</v>
      </c>
      <c r="L10" s="2092">
        <f>IF(スコア!O10=0,0,1)</f>
        <v>0</v>
      </c>
      <c r="M10" s="2092">
        <f t="shared" si="4"/>
        <v>0.15</v>
      </c>
      <c r="N10" s="2092">
        <f t="shared" si="5"/>
        <v>0</v>
      </c>
      <c r="O10"/>
      <c r="P10" s="2094">
        <f t="shared" si="6"/>
        <v>1</v>
      </c>
      <c r="Q10" s="2094" t="str">
        <f t="shared" si="7"/>
        <v xml:space="preserve"> Q1</v>
      </c>
      <c r="R10" s="2095" t="str">
        <f t="shared" si="8"/>
        <v>音環境</v>
      </c>
      <c r="S10" s="2096">
        <f t="shared" si="9"/>
        <v>0.15</v>
      </c>
      <c r="T10" s="2096">
        <f t="shared" si="10"/>
        <v>0.15</v>
      </c>
      <c r="U10" s="2096">
        <f t="shared" si="11"/>
        <v>0.15</v>
      </c>
      <c r="V10" s="2096">
        <f t="shared" si="12"/>
        <v>0.15</v>
      </c>
      <c r="W10" s="2096">
        <f t="shared" si="13"/>
        <v>0.15</v>
      </c>
      <c r="X10" s="2096">
        <f t="shared" si="14"/>
        <v>0.15</v>
      </c>
      <c r="Y10" s="2096">
        <f t="shared" si="15"/>
        <v>0.15</v>
      </c>
      <c r="Z10" s="2097">
        <f t="shared" si="16"/>
        <v>0.23</v>
      </c>
      <c r="AA10" s="2096">
        <f t="shared" ref="AA10:AA40" si="21">IF($P$3=1,BI10,IF($P$3=2,BZ10,AR10))</f>
        <v>0.15</v>
      </c>
      <c r="AB10" s="2096">
        <f t="shared" si="17"/>
        <v>0.15</v>
      </c>
      <c r="AC10" s="2098">
        <f t="shared" si="18"/>
        <v>0</v>
      </c>
      <c r="AD10" s="2096">
        <f t="shared" si="19"/>
        <v>0</v>
      </c>
      <c r="AE10" s="2096">
        <f t="shared" si="20"/>
        <v>0</v>
      </c>
      <c r="AF10"/>
      <c r="AG10" s="2094">
        <v>1</v>
      </c>
      <c r="AH10" s="2099" t="s">
        <v>1039</v>
      </c>
      <c r="AI10" s="2095" t="s">
        <v>1029</v>
      </c>
      <c r="AJ10" s="2096">
        <v>0.15</v>
      </c>
      <c r="AK10" s="2096">
        <v>0.15</v>
      </c>
      <c r="AL10" s="2096">
        <v>0.15</v>
      </c>
      <c r="AM10" s="2096">
        <v>0.15</v>
      </c>
      <c r="AN10" s="2096">
        <v>0.15</v>
      </c>
      <c r="AO10" s="2096">
        <v>0.15</v>
      </c>
      <c r="AP10" s="2096">
        <v>0.15</v>
      </c>
      <c r="AQ10" s="2097">
        <v>0.23</v>
      </c>
      <c r="AR10" s="2096">
        <v>0.15</v>
      </c>
      <c r="AS10" s="2100">
        <v>0.15</v>
      </c>
      <c r="AT10" s="2101"/>
      <c r="AU10" s="2100"/>
      <c r="AV10" s="2100"/>
      <c r="AW10"/>
      <c r="AX10" s="2094">
        <v>1</v>
      </c>
      <c r="AY10" s="2099" t="s">
        <v>1039</v>
      </c>
      <c r="AZ10" s="2095" t="s">
        <v>1029</v>
      </c>
      <c r="BA10" s="2100">
        <v>0.15</v>
      </c>
      <c r="BB10" s="2100">
        <v>0.15</v>
      </c>
      <c r="BC10" s="2100">
        <v>0.15</v>
      </c>
      <c r="BD10" s="2100">
        <v>0.15</v>
      </c>
      <c r="BE10" s="2100">
        <v>0.15</v>
      </c>
      <c r="BF10" s="2100">
        <v>0.15</v>
      </c>
      <c r="BG10" s="2100">
        <v>0.15</v>
      </c>
      <c r="BH10" s="2102">
        <v>0.23</v>
      </c>
      <c r="BI10" s="2100">
        <v>0.15</v>
      </c>
      <c r="BJ10" s="2100">
        <v>0.15</v>
      </c>
      <c r="BK10" s="2101"/>
      <c r="BL10" s="2100"/>
      <c r="BM10" s="2100"/>
      <c r="BN10"/>
      <c r="BO10" s="2094">
        <v>1</v>
      </c>
      <c r="BP10" s="2099" t="s">
        <v>1039</v>
      </c>
      <c r="BQ10" s="2095" t="s">
        <v>1029</v>
      </c>
      <c r="BR10" s="2100">
        <v>0.15</v>
      </c>
      <c r="BS10" s="2100">
        <v>0.15</v>
      </c>
      <c r="BT10" s="2100">
        <v>0.15</v>
      </c>
      <c r="BU10" s="2100">
        <v>0.15</v>
      </c>
      <c r="BV10" s="2100">
        <v>0.15</v>
      </c>
      <c r="BW10" s="2100">
        <v>0.15</v>
      </c>
      <c r="BX10" s="2100">
        <v>0.15</v>
      </c>
      <c r="BY10" s="2102">
        <v>0.23</v>
      </c>
      <c r="BZ10" s="2100">
        <v>0.15</v>
      </c>
      <c r="CA10" s="2100">
        <v>0.15</v>
      </c>
      <c r="CB10" s="2101"/>
      <c r="CC10" s="2100"/>
      <c r="CD10" s="2100"/>
      <c r="CE10" s="2553"/>
      <c r="CF10"/>
    </row>
    <row r="11" spans="1:84">
      <c r="B11" s="2080">
        <f t="shared" si="0"/>
        <v>1.1000000000000001</v>
      </c>
      <c r="C11" s="2103" t="str">
        <f t="shared" si="1"/>
        <v>騒音</v>
      </c>
      <c r="D11" s="2104">
        <f>IF(I$10=0,0,G11/I$10)</f>
        <v>0.4</v>
      </c>
      <c r="E11" s="2104">
        <f>IF(J$10=0,0,H11/J$10)</f>
        <v>0</v>
      </c>
      <c r="G11" s="2105">
        <f t="shared" si="2"/>
        <v>0.4</v>
      </c>
      <c r="H11" s="2105">
        <f t="shared" si="3"/>
        <v>0</v>
      </c>
      <c r="I11" s="2093">
        <f>SUM(G12:G13)</f>
        <v>0.5</v>
      </c>
      <c r="J11" s="2093">
        <f>SUM(H12:H13)</f>
        <v>0</v>
      </c>
      <c r="K11" s="2105">
        <f>IF(スコア!M11=0,0,1)</f>
        <v>1</v>
      </c>
      <c r="L11" s="2105">
        <f>IF(スコア!O11=0,0,1)</f>
        <v>0</v>
      </c>
      <c r="M11" s="2105">
        <f t="shared" si="4"/>
        <v>0.4</v>
      </c>
      <c r="N11" s="2105">
        <f t="shared" si="5"/>
        <v>0</v>
      </c>
      <c r="P11" s="2106">
        <f t="shared" si="6"/>
        <v>1.1000000000000001</v>
      </c>
      <c r="Q11" s="2106" t="str">
        <f t="shared" si="7"/>
        <v xml:space="preserve"> Q1 1</v>
      </c>
      <c r="R11" s="2107" t="str">
        <f t="shared" si="8"/>
        <v>騒音</v>
      </c>
      <c r="S11" s="2108">
        <f t="shared" si="9"/>
        <v>0.4</v>
      </c>
      <c r="T11" s="2108">
        <f t="shared" si="10"/>
        <v>0.4</v>
      </c>
      <c r="U11" s="2108">
        <f t="shared" si="11"/>
        <v>0.4</v>
      </c>
      <c r="V11" s="2108">
        <f t="shared" si="12"/>
        <v>0.4</v>
      </c>
      <c r="W11" s="2108">
        <f t="shared" si="13"/>
        <v>0.4</v>
      </c>
      <c r="X11" s="2108">
        <f t="shared" si="14"/>
        <v>0.4</v>
      </c>
      <c r="Y11" s="2108">
        <f t="shared" si="15"/>
        <v>0.5</v>
      </c>
      <c r="Z11" s="2108">
        <f t="shared" si="16"/>
        <v>0.4</v>
      </c>
      <c r="AA11" s="2108">
        <f t="shared" si="21"/>
        <v>0.4</v>
      </c>
      <c r="AB11" s="2108">
        <f t="shared" si="17"/>
        <v>0.4</v>
      </c>
      <c r="AC11" s="2109">
        <f t="shared" si="18"/>
        <v>0.4</v>
      </c>
      <c r="AD11" s="2108">
        <f t="shared" si="19"/>
        <v>0.4</v>
      </c>
      <c r="AE11" s="2108">
        <f t="shared" si="20"/>
        <v>0.5</v>
      </c>
      <c r="AG11" s="2106">
        <v>1.1000000000000001</v>
      </c>
      <c r="AH11" s="2110" t="s">
        <v>1040</v>
      </c>
      <c r="AI11" s="2111" t="s">
        <v>275</v>
      </c>
      <c r="AJ11" s="2112">
        <v>0.4</v>
      </c>
      <c r="AK11" s="2108">
        <v>0.4</v>
      </c>
      <c r="AL11" s="2108">
        <v>0.8</v>
      </c>
      <c r="AM11" s="2108">
        <v>0.4</v>
      </c>
      <c r="AN11" s="2112">
        <v>0.4</v>
      </c>
      <c r="AO11" s="2108">
        <v>0.8</v>
      </c>
      <c r="AP11" s="2108">
        <v>0.8</v>
      </c>
      <c r="AQ11" s="2112">
        <v>0.8</v>
      </c>
      <c r="AR11" s="2112">
        <v>0.5</v>
      </c>
      <c r="AS11" s="2113">
        <v>0.4</v>
      </c>
      <c r="AT11" s="2114">
        <v>0.5</v>
      </c>
      <c r="AU11" s="2113">
        <v>0.4</v>
      </c>
      <c r="AV11" s="2113">
        <v>0.4</v>
      </c>
      <c r="AX11" s="2106">
        <v>1.1000000000000001</v>
      </c>
      <c r="AY11" s="2110" t="s">
        <v>1040</v>
      </c>
      <c r="AZ11" s="2111" t="s">
        <v>275</v>
      </c>
      <c r="BA11" s="2113"/>
      <c r="BB11" s="2113"/>
      <c r="BC11" s="2113"/>
      <c r="BD11" s="2113"/>
      <c r="BE11" s="2113"/>
      <c r="BF11" s="2113"/>
      <c r="BG11" s="2113"/>
      <c r="BH11" s="2115">
        <v>0.4</v>
      </c>
      <c r="BI11" s="2113"/>
      <c r="BJ11" s="2113"/>
      <c r="BK11" s="2114"/>
      <c r="BL11" s="2113"/>
      <c r="BM11" s="2113"/>
      <c r="BO11" s="2106">
        <v>1.1000000000000001</v>
      </c>
      <c r="BP11" s="2110" t="s">
        <v>1040</v>
      </c>
      <c r="BQ11" s="2111" t="s">
        <v>275</v>
      </c>
      <c r="BR11" s="2113">
        <v>0.4</v>
      </c>
      <c r="BS11" s="2113">
        <v>0.4</v>
      </c>
      <c r="BT11" s="2113">
        <v>0.4</v>
      </c>
      <c r="BU11" s="2113">
        <v>0.4</v>
      </c>
      <c r="BV11" s="2113">
        <v>0.4</v>
      </c>
      <c r="BW11" s="2113">
        <v>0.4</v>
      </c>
      <c r="BX11" s="2113">
        <v>0.5</v>
      </c>
      <c r="BY11" s="2113">
        <v>0.4</v>
      </c>
      <c r="BZ11" s="2113">
        <v>0.4</v>
      </c>
      <c r="CA11" s="2113">
        <v>0.4</v>
      </c>
      <c r="CB11" s="2113">
        <v>0.4</v>
      </c>
      <c r="CC11" s="2113">
        <v>0.4</v>
      </c>
      <c r="CD11" s="2113">
        <v>0.5</v>
      </c>
      <c r="CE11" s="2554"/>
    </row>
    <row r="12" spans="1:84" hidden="1">
      <c r="B12" s="2080" t="str">
        <f t="shared" si="0"/>
        <v>1.1.1</v>
      </c>
      <c r="C12" s="2103" t="str">
        <f t="shared" si="1"/>
        <v>室内騒音レベル</v>
      </c>
      <c r="D12" s="2104">
        <f>IF(I$11=0,0,G12/I$11)</f>
        <v>1</v>
      </c>
      <c r="E12" s="2104">
        <f>IF(J$11=0,0,H12/J$11)</f>
        <v>0</v>
      </c>
      <c r="G12" s="2105">
        <f t="shared" si="2"/>
        <v>0.5</v>
      </c>
      <c r="H12" s="2105">
        <f t="shared" si="3"/>
        <v>0</v>
      </c>
      <c r="I12" s="2093"/>
      <c r="J12" s="2093"/>
      <c r="K12" s="2105">
        <f>IF(スコア!M12=0,0,1)</f>
        <v>1</v>
      </c>
      <c r="L12" s="2105">
        <f>IF(スコア!O12=0,0,1)</f>
        <v>1</v>
      </c>
      <c r="M12" s="2105">
        <f t="shared" si="4"/>
        <v>0.5</v>
      </c>
      <c r="N12" s="2105">
        <f t="shared" si="5"/>
        <v>0</v>
      </c>
      <c r="P12" s="2106" t="str">
        <f t="shared" si="6"/>
        <v>1.1.1</v>
      </c>
      <c r="Q12" s="2106" t="str">
        <f t="shared" si="7"/>
        <v xml:space="preserve"> Q1 1.1</v>
      </c>
      <c r="R12" s="2107" t="str">
        <f t="shared" si="8"/>
        <v>室内騒音レベル</v>
      </c>
      <c r="S12" s="2108">
        <f t="shared" si="9"/>
        <v>0.5</v>
      </c>
      <c r="T12" s="2108">
        <f t="shared" si="10"/>
        <v>0.5</v>
      </c>
      <c r="U12" s="2108">
        <f t="shared" si="11"/>
        <v>0.5</v>
      </c>
      <c r="V12" s="2108">
        <f t="shared" si="12"/>
        <v>0.5</v>
      </c>
      <c r="W12" s="2108">
        <f t="shared" si="13"/>
        <v>0.5</v>
      </c>
      <c r="X12" s="2108">
        <f t="shared" si="14"/>
        <v>0.5</v>
      </c>
      <c r="Y12" s="2108">
        <f t="shared" si="15"/>
        <v>1</v>
      </c>
      <c r="Z12" s="2108">
        <f t="shared" si="16"/>
        <v>0.5</v>
      </c>
      <c r="AA12" s="2108">
        <f t="shared" si="21"/>
        <v>0.5</v>
      </c>
      <c r="AB12" s="2108">
        <f t="shared" si="17"/>
        <v>0.5</v>
      </c>
      <c r="AC12" s="2109">
        <f t="shared" si="18"/>
        <v>0.5</v>
      </c>
      <c r="AD12" s="2108">
        <f t="shared" si="19"/>
        <v>0.5</v>
      </c>
      <c r="AE12" s="2108">
        <f t="shared" si="20"/>
        <v>0.5</v>
      </c>
      <c r="AG12" s="2106" t="s">
        <v>1041</v>
      </c>
      <c r="AH12" s="2110" t="s">
        <v>1042</v>
      </c>
      <c r="AI12" s="2111" t="s">
        <v>1043</v>
      </c>
      <c r="AJ12" s="2108">
        <v>0.4</v>
      </c>
      <c r="AK12" s="2108">
        <v>1</v>
      </c>
      <c r="AL12" s="2108">
        <v>1</v>
      </c>
      <c r="AM12" s="2108">
        <v>1</v>
      </c>
      <c r="AN12" s="2108">
        <v>0.4</v>
      </c>
      <c r="AO12" s="2108">
        <v>1</v>
      </c>
      <c r="AP12" s="2108">
        <v>1</v>
      </c>
      <c r="AQ12" s="2108">
        <v>1</v>
      </c>
      <c r="AR12" s="2108">
        <v>0.4</v>
      </c>
      <c r="AS12" s="2113">
        <v>1</v>
      </c>
      <c r="AT12" s="2114">
        <v>0.4</v>
      </c>
      <c r="AU12" s="2113">
        <v>1</v>
      </c>
      <c r="AV12" s="2113">
        <v>1</v>
      </c>
      <c r="AX12" s="2106" t="s">
        <v>1041</v>
      </c>
      <c r="AY12" s="2110" t="s">
        <v>1042</v>
      </c>
      <c r="AZ12" s="2111" t="s">
        <v>1043</v>
      </c>
      <c r="BA12" s="2113"/>
      <c r="BB12" s="2113"/>
      <c r="BC12" s="2113"/>
      <c r="BD12" s="2113"/>
      <c r="BE12" s="2113"/>
      <c r="BF12" s="2113"/>
      <c r="BG12" s="2113"/>
      <c r="BH12" s="2115">
        <v>1</v>
      </c>
      <c r="BI12" s="2113"/>
      <c r="BJ12" s="2113"/>
      <c r="BK12" s="2114"/>
      <c r="BL12" s="2113"/>
      <c r="BM12" s="2113"/>
      <c r="BO12" s="2106" t="s">
        <v>1041</v>
      </c>
      <c r="BP12" s="2110" t="s">
        <v>1042</v>
      </c>
      <c r="BQ12" s="2111" t="s">
        <v>1043</v>
      </c>
      <c r="BR12" s="2113">
        <v>0.5</v>
      </c>
      <c r="BS12" s="2113">
        <v>0.5</v>
      </c>
      <c r="BT12" s="2113">
        <v>0.5</v>
      </c>
      <c r="BU12" s="2113">
        <v>0.5</v>
      </c>
      <c r="BV12" s="2113">
        <v>0.5</v>
      </c>
      <c r="BW12" s="2113">
        <v>0.5</v>
      </c>
      <c r="BX12" s="2113">
        <v>1</v>
      </c>
      <c r="BY12" s="2113">
        <v>0.5</v>
      </c>
      <c r="BZ12" s="2113">
        <v>0.5</v>
      </c>
      <c r="CA12" s="2113">
        <v>0.5</v>
      </c>
      <c r="CB12" s="2114">
        <v>0.5</v>
      </c>
      <c r="CC12" s="2113">
        <v>0.5</v>
      </c>
      <c r="CD12" s="2113">
        <v>0.5</v>
      </c>
      <c r="CE12" s="2554"/>
    </row>
    <row r="13" spans="1:84" hidden="1">
      <c r="B13" s="2080" t="str">
        <f t="shared" si="0"/>
        <v>1.1.2</v>
      </c>
      <c r="C13" s="2103" t="str">
        <f t="shared" si="1"/>
        <v>設備騒音対策</v>
      </c>
      <c r="D13" s="2104">
        <f>IF(I$11=0,0,G13/I$11)</f>
        <v>0</v>
      </c>
      <c r="E13" s="2104">
        <f>IF(J$11=0,0,H13/J$11)</f>
        <v>0</v>
      </c>
      <c r="G13" s="2105">
        <f t="shared" si="2"/>
        <v>0</v>
      </c>
      <c r="H13" s="2105">
        <f t="shared" si="3"/>
        <v>0</v>
      </c>
      <c r="I13" s="2093"/>
      <c r="J13" s="2093"/>
      <c r="K13" s="2105">
        <f>IF(スコア!M13=0,0,1)</f>
        <v>0</v>
      </c>
      <c r="L13" s="2105">
        <f>IF(スコア!O13=0,0,1)</f>
        <v>0</v>
      </c>
      <c r="M13" s="2105">
        <f t="shared" si="4"/>
        <v>0.5</v>
      </c>
      <c r="N13" s="2105">
        <f t="shared" si="5"/>
        <v>0</v>
      </c>
      <c r="P13" s="2106" t="str">
        <f t="shared" si="6"/>
        <v>1.1.2</v>
      </c>
      <c r="Q13" s="2106" t="str">
        <f t="shared" si="7"/>
        <v xml:space="preserve"> Q1 1.1</v>
      </c>
      <c r="R13" s="2107" t="str">
        <f t="shared" si="8"/>
        <v>設備騒音対策</v>
      </c>
      <c r="S13" s="2108">
        <f t="shared" si="9"/>
        <v>0.5</v>
      </c>
      <c r="T13" s="2108">
        <f t="shared" si="10"/>
        <v>0.5</v>
      </c>
      <c r="U13" s="2108">
        <f t="shared" si="11"/>
        <v>0.5</v>
      </c>
      <c r="V13" s="2108">
        <f t="shared" si="12"/>
        <v>0.5</v>
      </c>
      <c r="W13" s="2108">
        <f t="shared" si="13"/>
        <v>0.5</v>
      </c>
      <c r="X13" s="2108">
        <f t="shared" si="14"/>
        <v>0.5</v>
      </c>
      <c r="Y13" s="2108">
        <f t="shared" si="15"/>
        <v>0</v>
      </c>
      <c r="Z13" s="2108">
        <f t="shared" si="16"/>
        <v>0.5</v>
      </c>
      <c r="AA13" s="2108">
        <f t="shared" si="21"/>
        <v>0.5</v>
      </c>
      <c r="AB13" s="2108">
        <f t="shared" si="17"/>
        <v>0.5</v>
      </c>
      <c r="AC13" s="2109">
        <f t="shared" si="18"/>
        <v>0.5</v>
      </c>
      <c r="AD13" s="2108">
        <f t="shared" si="19"/>
        <v>0.5</v>
      </c>
      <c r="AE13" s="2108">
        <f t="shared" si="20"/>
        <v>0.5</v>
      </c>
      <c r="AG13" s="2106" t="s">
        <v>1044</v>
      </c>
      <c r="AH13" s="2110" t="s">
        <v>1042</v>
      </c>
      <c r="AI13" s="2111" t="s">
        <v>1045</v>
      </c>
      <c r="AJ13" s="2108">
        <v>0.6</v>
      </c>
      <c r="AK13" s="2108"/>
      <c r="AL13" s="2108"/>
      <c r="AM13" s="2108"/>
      <c r="AN13" s="2108">
        <v>0.6</v>
      </c>
      <c r="AO13" s="2108"/>
      <c r="AP13" s="2108"/>
      <c r="AQ13" s="2108"/>
      <c r="AR13" s="2108">
        <v>0.6</v>
      </c>
      <c r="AS13" s="2113"/>
      <c r="AT13" s="2114">
        <v>0.6</v>
      </c>
      <c r="AU13" s="2113"/>
      <c r="AV13" s="2113"/>
      <c r="AX13" s="2106" t="s">
        <v>1044</v>
      </c>
      <c r="AY13" s="2110" t="s">
        <v>1042</v>
      </c>
      <c r="AZ13" s="2111" t="s">
        <v>1045</v>
      </c>
      <c r="BA13" s="2113"/>
      <c r="BB13" s="2113"/>
      <c r="BC13" s="2113"/>
      <c r="BD13" s="2113"/>
      <c r="BE13" s="2113"/>
      <c r="BF13" s="2113"/>
      <c r="BG13" s="2113"/>
      <c r="BH13" s="2115"/>
      <c r="BI13" s="2113"/>
      <c r="BJ13" s="2113"/>
      <c r="BK13" s="2114"/>
      <c r="BL13" s="2113"/>
      <c r="BM13" s="2113"/>
      <c r="BO13" s="2106" t="s">
        <v>1044</v>
      </c>
      <c r="BP13" s="2110" t="s">
        <v>1042</v>
      </c>
      <c r="BQ13" s="2111" t="s">
        <v>1045</v>
      </c>
      <c r="BR13" s="2113">
        <v>0.5</v>
      </c>
      <c r="BS13" s="2113">
        <v>0.5</v>
      </c>
      <c r="BT13" s="2113">
        <v>0.5</v>
      </c>
      <c r="BU13" s="2113">
        <v>0.5</v>
      </c>
      <c r="BV13" s="2113">
        <v>0.5</v>
      </c>
      <c r="BW13" s="2113">
        <v>0.5</v>
      </c>
      <c r="BX13" s="2113"/>
      <c r="BY13" s="2113">
        <v>0.5</v>
      </c>
      <c r="BZ13" s="2113">
        <v>0.5</v>
      </c>
      <c r="CA13" s="2113">
        <v>0.5</v>
      </c>
      <c r="CB13" s="2114">
        <v>0.5</v>
      </c>
      <c r="CC13" s="2113">
        <v>0.5</v>
      </c>
      <c r="CD13" s="2113">
        <v>0.5</v>
      </c>
      <c r="CE13" s="2554"/>
    </row>
    <row r="14" spans="1:84">
      <c r="B14" s="2080">
        <f t="shared" si="0"/>
        <v>1.2</v>
      </c>
      <c r="C14" s="1525" t="str">
        <f t="shared" si="1"/>
        <v>遮音</v>
      </c>
      <c r="D14" s="2104">
        <f>IF(I$10=0,0,G14/I$10)</f>
        <v>0.4</v>
      </c>
      <c r="E14" s="2104">
        <f>IF(J$10=0,0,H14/J$10)</f>
        <v>0</v>
      </c>
      <c r="G14" s="2105">
        <f t="shared" si="2"/>
        <v>0.4</v>
      </c>
      <c r="H14" s="2105">
        <f t="shared" si="3"/>
        <v>0</v>
      </c>
      <c r="I14" s="2093">
        <f>SUM(G15:G18)</f>
        <v>1</v>
      </c>
      <c r="J14" s="2093">
        <f>SUM(H15:H18)</f>
        <v>0</v>
      </c>
      <c r="K14" s="2105">
        <f>IF(スコア!M14=0,0,1)</f>
        <v>1</v>
      </c>
      <c r="L14" s="2105">
        <f>IF(スコア!O14=0,0,1)</f>
        <v>0</v>
      </c>
      <c r="M14" s="2105">
        <f t="shared" si="4"/>
        <v>0.4</v>
      </c>
      <c r="N14" s="2105">
        <f t="shared" si="5"/>
        <v>0</v>
      </c>
      <c r="P14" s="2106">
        <f t="shared" si="6"/>
        <v>1.2</v>
      </c>
      <c r="Q14" s="2106" t="str">
        <f t="shared" si="7"/>
        <v xml:space="preserve"> Q1 1</v>
      </c>
      <c r="R14" s="2107" t="str">
        <f t="shared" si="8"/>
        <v>遮音</v>
      </c>
      <c r="S14" s="2108">
        <f t="shared" si="9"/>
        <v>0.4</v>
      </c>
      <c r="T14" s="2108">
        <f t="shared" si="10"/>
        <v>0.4</v>
      </c>
      <c r="U14" s="2108">
        <f t="shared" si="11"/>
        <v>0.4</v>
      </c>
      <c r="V14" s="2108">
        <f t="shared" si="12"/>
        <v>0.4</v>
      </c>
      <c r="W14" s="2108">
        <f t="shared" si="13"/>
        <v>0.4</v>
      </c>
      <c r="X14" s="2108">
        <f t="shared" si="14"/>
        <v>0.4</v>
      </c>
      <c r="Y14" s="2108">
        <f t="shared" si="15"/>
        <v>0.5</v>
      </c>
      <c r="Z14" s="2108">
        <f t="shared" si="16"/>
        <v>0.4</v>
      </c>
      <c r="AA14" s="2108">
        <f t="shared" si="21"/>
        <v>0.4</v>
      </c>
      <c r="AB14" s="2108">
        <f t="shared" si="17"/>
        <v>0.4</v>
      </c>
      <c r="AC14" s="2109">
        <f t="shared" si="18"/>
        <v>0.4</v>
      </c>
      <c r="AD14" s="2108">
        <f t="shared" si="19"/>
        <v>0.4</v>
      </c>
      <c r="AE14" s="2108">
        <f t="shared" si="20"/>
        <v>0.5</v>
      </c>
      <c r="AG14" s="2106">
        <v>1.2</v>
      </c>
      <c r="AH14" s="2110" t="s">
        <v>1040</v>
      </c>
      <c r="AI14" s="1529" t="s">
        <v>3088</v>
      </c>
      <c r="AJ14" s="2112">
        <v>0.4</v>
      </c>
      <c r="AK14" s="2108">
        <v>0.4</v>
      </c>
      <c r="AL14" s="2108"/>
      <c r="AM14" s="2108">
        <v>0.4</v>
      </c>
      <c r="AN14" s="2112">
        <v>0.4</v>
      </c>
      <c r="AO14" s="2108"/>
      <c r="AP14" s="2108"/>
      <c r="AQ14" s="2108"/>
      <c r="AR14" s="2112">
        <v>0.5</v>
      </c>
      <c r="AS14" s="2113">
        <v>0.4</v>
      </c>
      <c r="AT14" s="2114">
        <v>0.5</v>
      </c>
      <c r="AU14" s="2113">
        <v>0.4</v>
      </c>
      <c r="AV14" s="2116">
        <v>0.4</v>
      </c>
      <c r="AX14" s="2106">
        <v>1.2</v>
      </c>
      <c r="AY14" s="2110" t="s">
        <v>1040</v>
      </c>
      <c r="AZ14" s="1529" t="s">
        <v>3088</v>
      </c>
      <c r="BA14" s="2113">
        <v>0.7</v>
      </c>
      <c r="BB14" s="2113">
        <v>0.7</v>
      </c>
      <c r="BC14" s="2113">
        <v>0.7</v>
      </c>
      <c r="BD14" s="2113">
        <v>0.7</v>
      </c>
      <c r="BE14" s="2113">
        <v>0.7</v>
      </c>
      <c r="BF14" s="2113">
        <v>0.7</v>
      </c>
      <c r="BG14" s="2113">
        <v>1</v>
      </c>
      <c r="BH14" s="2115">
        <v>0.4</v>
      </c>
      <c r="BI14" s="2113">
        <v>0.7</v>
      </c>
      <c r="BJ14" s="2113">
        <v>0.7</v>
      </c>
      <c r="BK14" s="2114">
        <v>0.7</v>
      </c>
      <c r="BL14" s="2113">
        <v>0.7</v>
      </c>
      <c r="BM14" s="2113">
        <v>1</v>
      </c>
      <c r="BO14" s="2106">
        <v>1.2</v>
      </c>
      <c r="BP14" s="2110" t="s">
        <v>1040</v>
      </c>
      <c r="BQ14" s="1529" t="s">
        <v>3088</v>
      </c>
      <c r="BR14" s="2113">
        <v>0.4</v>
      </c>
      <c r="BS14" s="2113">
        <v>0.4</v>
      </c>
      <c r="BT14" s="2113">
        <v>0.4</v>
      </c>
      <c r="BU14" s="2113">
        <v>0.4</v>
      </c>
      <c r="BV14" s="2113">
        <v>0.4</v>
      </c>
      <c r="BW14" s="2113">
        <v>0.4</v>
      </c>
      <c r="BX14" s="2113">
        <v>0.5</v>
      </c>
      <c r="BY14" s="2113">
        <v>0.4</v>
      </c>
      <c r="BZ14" s="2113">
        <v>0.4</v>
      </c>
      <c r="CA14" s="2113">
        <v>0.4</v>
      </c>
      <c r="CB14" s="2113">
        <v>0.4</v>
      </c>
      <c r="CC14" s="2113">
        <v>0.4</v>
      </c>
      <c r="CD14" s="2113">
        <v>0.5</v>
      </c>
      <c r="CE14" s="2554"/>
    </row>
    <row r="15" spans="1:84">
      <c r="B15" s="2080" t="str">
        <f t="shared" si="0"/>
        <v>1.2.1</v>
      </c>
      <c r="C15" s="1525" t="str">
        <f t="shared" si="1"/>
        <v>開口部遮音性能</v>
      </c>
      <c r="D15" s="2104">
        <f t="shared" ref="D15:E18" si="22">IF(I$14=0,0,G15/I$14)</f>
        <v>0.6</v>
      </c>
      <c r="E15" s="2104">
        <f>IF(J$14=0,0,H15/J$14)</f>
        <v>0</v>
      </c>
      <c r="G15" s="2105">
        <f t="shared" si="2"/>
        <v>0.6</v>
      </c>
      <c r="H15" s="2105">
        <f t="shared" si="3"/>
        <v>0</v>
      </c>
      <c r="I15" s="2093"/>
      <c r="J15" s="2093"/>
      <c r="K15" s="2105">
        <f>IF(スコア!M15=0,0,1)</f>
        <v>1</v>
      </c>
      <c r="L15" s="2105">
        <f>IF(スコア!O15=0,0,1)</f>
        <v>1</v>
      </c>
      <c r="M15" s="2105">
        <f t="shared" si="4"/>
        <v>0.6</v>
      </c>
      <c r="N15" s="2105">
        <f t="shared" si="5"/>
        <v>0</v>
      </c>
      <c r="P15" s="2106" t="str">
        <f t="shared" si="6"/>
        <v>1.2.1</v>
      </c>
      <c r="Q15" s="2106" t="str">
        <f t="shared" si="7"/>
        <v xml:space="preserve"> Q1 1.2</v>
      </c>
      <c r="R15" s="2107" t="str">
        <f t="shared" si="8"/>
        <v>開口部遮音性能</v>
      </c>
      <c r="S15" s="2108">
        <f t="shared" si="9"/>
        <v>0.6</v>
      </c>
      <c r="T15" s="2108">
        <f t="shared" si="10"/>
        <v>0.3</v>
      </c>
      <c r="U15" s="2108">
        <f t="shared" si="11"/>
        <v>1</v>
      </c>
      <c r="V15" s="2108">
        <f t="shared" si="12"/>
        <v>0.6</v>
      </c>
      <c r="W15" s="2108">
        <f t="shared" si="13"/>
        <v>0.4</v>
      </c>
      <c r="X15" s="2108">
        <f t="shared" si="14"/>
        <v>1</v>
      </c>
      <c r="Y15" s="2108">
        <f t="shared" si="15"/>
        <v>1</v>
      </c>
      <c r="Z15" s="2117">
        <f t="shared" si="16"/>
        <v>1</v>
      </c>
      <c r="AA15" s="2108">
        <f t="shared" si="21"/>
        <v>0.6</v>
      </c>
      <c r="AB15" s="2108">
        <f t="shared" si="17"/>
        <v>0.3</v>
      </c>
      <c r="AC15" s="2109">
        <f t="shared" si="18"/>
        <v>0.3</v>
      </c>
      <c r="AD15" s="2108">
        <f t="shared" si="19"/>
        <v>0.3</v>
      </c>
      <c r="AE15" s="2108">
        <f t="shared" si="20"/>
        <v>0.3</v>
      </c>
      <c r="AG15" s="2106" t="s">
        <v>276</v>
      </c>
      <c r="AH15" s="2110" t="s">
        <v>1046</v>
      </c>
      <c r="AI15" s="1529" t="s">
        <v>277</v>
      </c>
      <c r="AJ15" s="2118"/>
      <c r="AK15" s="2118"/>
      <c r="AL15" s="2118"/>
      <c r="AM15" s="2118"/>
      <c r="AN15" s="2118"/>
      <c r="AO15" s="2118"/>
      <c r="AP15" s="2118"/>
      <c r="AQ15" s="2118"/>
      <c r="AR15" s="2118"/>
      <c r="AS15" s="2113"/>
      <c r="AT15" s="2114"/>
      <c r="AU15" s="2113"/>
      <c r="AV15" s="2113"/>
      <c r="AX15" s="2106" t="s">
        <v>276</v>
      </c>
      <c r="AY15" s="2110" t="s">
        <v>1046</v>
      </c>
      <c r="AZ15" s="1529" t="s">
        <v>277</v>
      </c>
      <c r="BA15" s="2113">
        <v>0.6</v>
      </c>
      <c r="BB15" s="2113">
        <v>0.4</v>
      </c>
      <c r="BC15" s="2113">
        <v>1</v>
      </c>
      <c r="BD15" s="2113">
        <v>0.6</v>
      </c>
      <c r="BE15" s="2113">
        <v>0.4</v>
      </c>
      <c r="BF15" s="2113">
        <v>1</v>
      </c>
      <c r="BG15" s="2113">
        <v>1</v>
      </c>
      <c r="BH15" s="2115">
        <v>1</v>
      </c>
      <c r="BI15" s="2113">
        <v>0.6</v>
      </c>
      <c r="BJ15" s="2113">
        <v>0.4</v>
      </c>
      <c r="BK15" s="2114">
        <v>0.3</v>
      </c>
      <c r="BL15" s="2113">
        <v>0.3</v>
      </c>
      <c r="BM15" s="2113">
        <v>0.3</v>
      </c>
      <c r="BO15" s="2106" t="s">
        <v>276</v>
      </c>
      <c r="BP15" s="2110" t="s">
        <v>1046</v>
      </c>
      <c r="BQ15" s="1529" t="s">
        <v>277</v>
      </c>
      <c r="BR15" s="2113">
        <v>0.6</v>
      </c>
      <c r="BS15" s="2113">
        <v>0.3</v>
      </c>
      <c r="BT15" s="2113">
        <v>1</v>
      </c>
      <c r="BU15" s="2113">
        <v>0.6</v>
      </c>
      <c r="BV15" s="2113">
        <v>0.4</v>
      </c>
      <c r="BW15" s="2113">
        <v>1</v>
      </c>
      <c r="BX15" s="2113">
        <v>1</v>
      </c>
      <c r="BY15" s="2113">
        <v>1</v>
      </c>
      <c r="BZ15" s="2113">
        <v>0.6</v>
      </c>
      <c r="CA15" s="2113">
        <v>0.3</v>
      </c>
      <c r="CB15" s="2113">
        <v>0.3</v>
      </c>
      <c r="CC15" s="2113">
        <v>0.3</v>
      </c>
      <c r="CD15" s="2113">
        <v>0.3</v>
      </c>
      <c r="CE15" s="2554"/>
    </row>
    <row r="16" spans="1:84">
      <c r="B16" s="2080" t="str">
        <f t="shared" si="0"/>
        <v>1.2.2</v>
      </c>
      <c r="C16" s="1525" t="str">
        <f t="shared" si="1"/>
        <v>界壁遮音性能</v>
      </c>
      <c r="D16" s="2104">
        <f t="shared" si="22"/>
        <v>0.4</v>
      </c>
      <c r="E16" s="2104">
        <f t="shared" si="22"/>
        <v>0</v>
      </c>
      <c r="G16" s="2105">
        <f t="shared" si="2"/>
        <v>0.4</v>
      </c>
      <c r="H16" s="2105">
        <f t="shared" si="3"/>
        <v>0</v>
      </c>
      <c r="I16" s="2105"/>
      <c r="J16" s="2105"/>
      <c r="K16" s="2105">
        <f>IF(スコア!M16=0,0,1)</f>
        <v>1</v>
      </c>
      <c r="L16" s="2105">
        <f>IF(スコア!O16=0,0,1)</f>
        <v>1</v>
      </c>
      <c r="M16" s="2105">
        <f t="shared" si="4"/>
        <v>0.4</v>
      </c>
      <c r="N16" s="2105">
        <f t="shared" si="5"/>
        <v>0</v>
      </c>
      <c r="P16" s="2106" t="str">
        <f t="shared" si="6"/>
        <v>1.2.2</v>
      </c>
      <c r="Q16" s="2106" t="str">
        <f t="shared" si="7"/>
        <v xml:space="preserve"> Q1 1.2</v>
      </c>
      <c r="R16" s="2107" t="str">
        <f t="shared" si="8"/>
        <v>界壁遮音性能</v>
      </c>
      <c r="S16" s="2108">
        <f t="shared" si="9"/>
        <v>0.4</v>
      </c>
      <c r="T16" s="2108">
        <f t="shared" si="10"/>
        <v>0.3</v>
      </c>
      <c r="U16" s="2108">
        <f t="shared" si="11"/>
        <v>0</v>
      </c>
      <c r="V16" s="2108">
        <f t="shared" si="12"/>
        <v>0.4</v>
      </c>
      <c r="W16" s="2108">
        <f t="shared" si="13"/>
        <v>0.6</v>
      </c>
      <c r="X16" s="2108">
        <f t="shared" si="14"/>
        <v>0</v>
      </c>
      <c r="Y16" s="2108">
        <f t="shared" si="15"/>
        <v>0</v>
      </c>
      <c r="Z16" s="2117">
        <f t="shared" si="16"/>
        <v>0</v>
      </c>
      <c r="AA16" s="2108">
        <f t="shared" si="21"/>
        <v>0.4</v>
      </c>
      <c r="AB16" s="2108">
        <f t="shared" si="17"/>
        <v>0.3</v>
      </c>
      <c r="AC16" s="2109">
        <f t="shared" si="18"/>
        <v>0.3</v>
      </c>
      <c r="AD16" s="2108">
        <f t="shared" si="19"/>
        <v>0.3</v>
      </c>
      <c r="AE16" s="2108">
        <f t="shared" si="20"/>
        <v>0.3</v>
      </c>
      <c r="AG16" s="2106" t="s">
        <v>278</v>
      </c>
      <c r="AH16" s="2110" t="s">
        <v>1046</v>
      </c>
      <c r="AI16" s="1529" t="s">
        <v>812</v>
      </c>
      <c r="AJ16" s="2119">
        <v>1</v>
      </c>
      <c r="AK16" s="2113">
        <v>0.4</v>
      </c>
      <c r="AL16" s="2113"/>
      <c r="AM16" s="2113">
        <v>1</v>
      </c>
      <c r="AN16" s="2119">
        <v>0.4</v>
      </c>
      <c r="AO16" s="2113"/>
      <c r="AP16" s="2113"/>
      <c r="AQ16" s="2120"/>
      <c r="AR16" s="2119">
        <v>1</v>
      </c>
      <c r="AS16" s="2113">
        <v>0.4</v>
      </c>
      <c r="AT16" s="2114">
        <v>1</v>
      </c>
      <c r="AU16" s="2113">
        <v>0.4</v>
      </c>
      <c r="AV16" s="2113">
        <v>0.4</v>
      </c>
      <c r="AX16" s="2106" t="s">
        <v>278</v>
      </c>
      <c r="AY16" s="2110" t="s">
        <v>1046</v>
      </c>
      <c r="AZ16" s="1529" t="s">
        <v>812</v>
      </c>
      <c r="BA16" s="2113">
        <v>0.4</v>
      </c>
      <c r="BB16" s="2113">
        <v>0.3</v>
      </c>
      <c r="BC16" s="2113"/>
      <c r="BD16" s="2113">
        <v>0.4</v>
      </c>
      <c r="BE16" s="2113">
        <v>0.6</v>
      </c>
      <c r="BF16" s="2113"/>
      <c r="BG16" s="2113"/>
      <c r="BH16" s="2115"/>
      <c r="BI16" s="2113">
        <v>0.4</v>
      </c>
      <c r="BJ16" s="2113">
        <v>0.3</v>
      </c>
      <c r="BK16" s="2114">
        <v>0.3</v>
      </c>
      <c r="BL16" s="2113">
        <v>0.3</v>
      </c>
      <c r="BM16" s="2113">
        <v>0.3</v>
      </c>
      <c r="BO16" s="2106" t="s">
        <v>278</v>
      </c>
      <c r="BP16" s="2110" t="s">
        <v>1046</v>
      </c>
      <c r="BQ16" s="1529" t="s">
        <v>812</v>
      </c>
      <c r="BR16" s="2113">
        <v>0.4</v>
      </c>
      <c r="BS16" s="2113">
        <v>0.3</v>
      </c>
      <c r="BT16" s="2113"/>
      <c r="BU16" s="2113">
        <v>0.4</v>
      </c>
      <c r="BV16" s="2113">
        <v>0.6</v>
      </c>
      <c r="BW16" s="2113"/>
      <c r="BX16" s="2113"/>
      <c r="BY16" s="2113"/>
      <c r="BZ16" s="2113">
        <v>0.4</v>
      </c>
      <c r="CA16" s="2113">
        <v>0.3</v>
      </c>
      <c r="CB16" s="2113">
        <v>0.3</v>
      </c>
      <c r="CC16" s="2113">
        <v>0.3</v>
      </c>
      <c r="CD16" s="2113">
        <v>0.3</v>
      </c>
      <c r="CE16" s="2554"/>
    </row>
    <row r="17" spans="1:84">
      <c r="B17" s="2080" t="str">
        <f t="shared" si="0"/>
        <v>1.2.3</v>
      </c>
      <c r="C17" s="1525" t="str">
        <f t="shared" si="1"/>
        <v>界床遮音性能（軽量衝撃源）</v>
      </c>
      <c r="D17" s="2104">
        <f t="shared" si="22"/>
        <v>0</v>
      </c>
      <c r="E17" s="2104">
        <f t="shared" si="22"/>
        <v>0</v>
      </c>
      <c r="G17" s="2105">
        <f t="shared" si="2"/>
        <v>0</v>
      </c>
      <c r="H17" s="2105">
        <f t="shared" si="3"/>
        <v>0</v>
      </c>
      <c r="I17" s="2105"/>
      <c r="J17" s="2105"/>
      <c r="K17" s="2105">
        <f>IF(スコア!M17=0,0,1)</f>
        <v>1</v>
      </c>
      <c r="L17" s="2105">
        <f>IF(スコア!O17=0,0,1)</f>
        <v>1</v>
      </c>
      <c r="M17" s="2105">
        <f t="shared" si="4"/>
        <v>0</v>
      </c>
      <c r="N17" s="2105">
        <f t="shared" si="5"/>
        <v>0</v>
      </c>
      <c r="P17" s="2106" t="str">
        <f t="shared" si="6"/>
        <v>1.2.3</v>
      </c>
      <c r="Q17" s="2106" t="str">
        <f t="shared" si="7"/>
        <v xml:space="preserve"> Q1 1.2</v>
      </c>
      <c r="R17" s="2107" t="str">
        <f t="shared" si="8"/>
        <v>界床遮音性能（軽量衝撃源）</v>
      </c>
      <c r="S17" s="2108">
        <f t="shared" si="9"/>
        <v>0</v>
      </c>
      <c r="T17" s="2108">
        <f t="shared" si="10"/>
        <v>0.2</v>
      </c>
      <c r="U17" s="2108">
        <f t="shared" si="11"/>
        <v>0</v>
      </c>
      <c r="V17" s="2108">
        <f t="shared" si="12"/>
        <v>0</v>
      </c>
      <c r="W17" s="2108">
        <f t="shared" si="13"/>
        <v>0</v>
      </c>
      <c r="X17" s="2108">
        <f t="shared" si="14"/>
        <v>0</v>
      </c>
      <c r="Y17" s="2108">
        <f t="shared" si="15"/>
        <v>0</v>
      </c>
      <c r="Z17" s="2117">
        <f t="shared" si="16"/>
        <v>0</v>
      </c>
      <c r="AA17" s="2108">
        <f t="shared" si="21"/>
        <v>0</v>
      </c>
      <c r="AB17" s="2108">
        <f t="shared" si="17"/>
        <v>0.2</v>
      </c>
      <c r="AC17" s="2109">
        <f t="shared" si="18"/>
        <v>0.2</v>
      </c>
      <c r="AD17" s="2108">
        <f t="shared" si="19"/>
        <v>0.2</v>
      </c>
      <c r="AE17" s="2108">
        <f t="shared" si="20"/>
        <v>0.2</v>
      </c>
      <c r="AG17" s="2106" t="s">
        <v>279</v>
      </c>
      <c r="AH17" s="2110" t="s">
        <v>1046</v>
      </c>
      <c r="AI17" s="1529" t="s">
        <v>813</v>
      </c>
      <c r="AJ17" s="2113"/>
      <c r="AK17" s="2113">
        <v>0.3</v>
      </c>
      <c r="AL17" s="2113"/>
      <c r="AM17" s="2113"/>
      <c r="AN17" s="2119">
        <v>0.6</v>
      </c>
      <c r="AO17" s="2113"/>
      <c r="AP17" s="2113"/>
      <c r="AQ17" s="2120"/>
      <c r="AR17" s="2113"/>
      <c r="AS17" s="2113">
        <v>0.3</v>
      </c>
      <c r="AT17" s="2114"/>
      <c r="AU17" s="2113">
        <v>0.3</v>
      </c>
      <c r="AV17" s="2113">
        <v>0.3</v>
      </c>
      <c r="AX17" s="2106" t="s">
        <v>279</v>
      </c>
      <c r="AY17" s="2110" t="s">
        <v>1046</v>
      </c>
      <c r="AZ17" s="1529" t="s">
        <v>813</v>
      </c>
      <c r="BA17" s="2113"/>
      <c r="BB17" s="2113">
        <v>0.15</v>
      </c>
      <c r="BC17" s="2113"/>
      <c r="BD17" s="2113"/>
      <c r="BE17" s="2113"/>
      <c r="BF17" s="2113"/>
      <c r="BG17" s="2113"/>
      <c r="BH17" s="2115"/>
      <c r="BI17" s="2113"/>
      <c r="BJ17" s="2113">
        <v>0.15</v>
      </c>
      <c r="BK17" s="2114">
        <v>0.2</v>
      </c>
      <c r="BL17" s="2113">
        <v>0.2</v>
      </c>
      <c r="BM17" s="2113">
        <v>0.2</v>
      </c>
      <c r="BO17" s="2106" t="s">
        <v>279</v>
      </c>
      <c r="BP17" s="2110" t="s">
        <v>1046</v>
      </c>
      <c r="BQ17" s="1529" t="s">
        <v>813</v>
      </c>
      <c r="BR17" s="2113"/>
      <c r="BS17" s="2113">
        <v>0.2</v>
      </c>
      <c r="BT17" s="2113"/>
      <c r="BU17" s="2113"/>
      <c r="BV17" s="2113"/>
      <c r="BW17" s="2113"/>
      <c r="BX17" s="2113"/>
      <c r="BY17" s="2120"/>
      <c r="BZ17" s="2113"/>
      <c r="CA17" s="2113">
        <v>0.2</v>
      </c>
      <c r="CB17" s="2114">
        <v>0.2</v>
      </c>
      <c r="CC17" s="2113">
        <v>0.2</v>
      </c>
      <c r="CD17" s="2113">
        <v>0.2</v>
      </c>
      <c r="CE17" s="2554"/>
    </row>
    <row r="18" spans="1:84">
      <c r="B18" s="2080" t="str">
        <f t="shared" si="0"/>
        <v>1.2.4</v>
      </c>
      <c r="C18" s="1525" t="str">
        <f t="shared" si="1"/>
        <v>界床遮音性能（重量衝撃源）</v>
      </c>
      <c r="D18" s="2104">
        <f t="shared" si="22"/>
        <v>0</v>
      </c>
      <c r="E18" s="2104">
        <f t="shared" si="22"/>
        <v>0</v>
      </c>
      <c r="G18" s="2105">
        <f t="shared" si="2"/>
        <v>0</v>
      </c>
      <c r="H18" s="2105">
        <f t="shared" si="3"/>
        <v>0</v>
      </c>
      <c r="I18" s="2105"/>
      <c r="J18" s="2105"/>
      <c r="K18" s="2105">
        <f>IF(スコア!M18=0,0,1)</f>
        <v>1</v>
      </c>
      <c r="L18" s="2105">
        <f>IF(スコア!O18=0,0,1)</f>
        <v>1</v>
      </c>
      <c r="M18" s="2105">
        <f t="shared" si="4"/>
        <v>0</v>
      </c>
      <c r="N18" s="2105">
        <f t="shared" si="5"/>
        <v>0</v>
      </c>
      <c r="P18" s="2106" t="str">
        <f t="shared" si="6"/>
        <v>1.2.4</v>
      </c>
      <c r="Q18" s="2106" t="str">
        <f t="shared" si="7"/>
        <v xml:space="preserve"> Q1 1.2</v>
      </c>
      <c r="R18" s="2107" t="str">
        <f t="shared" si="8"/>
        <v>界床遮音性能（重量衝撃源）</v>
      </c>
      <c r="S18" s="2108">
        <f t="shared" si="9"/>
        <v>0</v>
      </c>
      <c r="T18" s="2108">
        <f t="shared" si="10"/>
        <v>0.2</v>
      </c>
      <c r="U18" s="2108">
        <f t="shared" si="11"/>
        <v>0</v>
      </c>
      <c r="V18" s="2108">
        <f t="shared" si="12"/>
        <v>0</v>
      </c>
      <c r="W18" s="2108">
        <f t="shared" si="13"/>
        <v>0</v>
      </c>
      <c r="X18" s="2108">
        <f t="shared" si="14"/>
        <v>0</v>
      </c>
      <c r="Y18" s="2108">
        <f t="shared" si="15"/>
        <v>0</v>
      </c>
      <c r="Z18" s="2117">
        <f t="shared" si="16"/>
        <v>0</v>
      </c>
      <c r="AA18" s="2108">
        <f t="shared" si="21"/>
        <v>0</v>
      </c>
      <c r="AB18" s="2108">
        <f t="shared" si="17"/>
        <v>0.2</v>
      </c>
      <c r="AC18" s="2109">
        <f t="shared" si="18"/>
        <v>0.2</v>
      </c>
      <c r="AD18" s="2108">
        <f t="shared" si="19"/>
        <v>0.2</v>
      </c>
      <c r="AE18" s="2108">
        <f t="shared" si="20"/>
        <v>0.2</v>
      </c>
      <c r="AG18" s="2106" t="s">
        <v>280</v>
      </c>
      <c r="AH18" s="2110" t="s">
        <v>1046</v>
      </c>
      <c r="AI18" s="1529" t="s">
        <v>814</v>
      </c>
      <c r="AJ18" s="2113"/>
      <c r="AK18" s="2113">
        <v>0.3</v>
      </c>
      <c r="AL18" s="2113"/>
      <c r="AM18" s="2113"/>
      <c r="AN18" s="2113"/>
      <c r="AO18" s="2113"/>
      <c r="AP18" s="2113"/>
      <c r="AQ18" s="2120"/>
      <c r="AR18" s="2113"/>
      <c r="AS18" s="2113">
        <v>0.3</v>
      </c>
      <c r="AT18" s="2114"/>
      <c r="AU18" s="2113">
        <v>0.3</v>
      </c>
      <c r="AV18" s="2113">
        <v>0.3</v>
      </c>
      <c r="AX18" s="2106" t="s">
        <v>280</v>
      </c>
      <c r="AY18" s="2110" t="s">
        <v>1046</v>
      </c>
      <c r="AZ18" s="1529" t="s">
        <v>814</v>
      </c>
      <c r="BA18" s="2113"/>
      <c r="BB18" s="2113">
        <v>0.15</v>
      </c>
      <c r="BC18" s="2113"/>
      <c r="BD18" s="2113"/>
      <c r="BE18" s="2113"/>
      <c r="BF18" s="2113"/>
      <c r="BG18" s="2113"/>
      <c r="BH18" s="2115"/>
      <c r="BI18" s="2113"/>
      <c r="BJ18" s="2113">
        <v>0.15</v>
      </c>
      <c r="BK18" s="2114">
        <v>0.2</v>
      </c>
      <c r="BL18" s="2113">
        <v>0.2</v>
      </c>
      <c r="BM18" s="2113">
        <v>0.2</v>
      </c>
      <c r="BO18" s="2106" t="s">
        <v>280</v>
      </c>
      <c r="BP18" s="2110" t="s">
        <v>1046</v>
      </c>
      <c r="BQ18" s="1529" t="s">
        <v>814</v>
      </c>
      <c r="BR18" s="2113"/>
      <c r="BS18" s="2113">
        <v>0.2</v>
      </c>
      <c r="BT18" s="2113"/>
      <c r="BU18" s="2113"/>
      <c r="BV18" s="2113"/>
      <c r="BW18" s="2113"/>
      <c r="BX18" s="2113"/>
      <c r="BY18" s="2120"/>
      <c r="BZ18" s="2113"/>
      <c r="CA18" s="2113">
        <v>0.2</v>
      </c>
      <c r="CB18" s="2114">
        <v>0.2</v>
      </c>
      <c r="CC18" s="2113">
        <v>0.2</v>
      </c>
      <c r="CD18" s="2113">
        <v>0.2</v>
      </c>
      <c r="CE18" s="2554"/>
    </row>
    <row r="19" spans="1:84">
      <c r="B19" s="2080">
        <f t="shared" si="0"/>
        <v>1.3</v>
      </c>
      <c r="C19" s="1525" t="str">
        <f t="shared" si="1"/>
        <v>吸音</v>
      </c>
      <c r="D19" s="2104">
        <f>IF(I$10=0,0,G19/I$10)</f>
        <v>0.2</v>
      </c>
      <c r="E19" s="2104">
        <f>IF(J$10=0,0,H19/J$10)</f>
        <v>0</v>
      </c>
      <c r="G19" s="2105">
        <f t="shared" si="2"/>
        <v>0.2</v>
      </c>
      <c r="H19" s="2105">
        <f t="shared" si="3"/>
        <v>0</v>
      </c>
      <c r="I19" s="2105"/>
      <c r="J19" s="2105"/>
      <c r="K19" s="2105">
        <f>IF(スコア!M19=0,0,1)</f>
        <v>1</v>
      </c>
      <c r="L19" s="2105">
        <f>IF(スコア!O19=0,0,1)</f>
        <v>1</v>
      </c>
      <c r="M19" s="2105">
        <f t="shared" si="4"/>
        <v>0.2</v>
      </c>
      <c r="N19" s="2105">
        <f t="shared" si="5"/>
        <v>0</v>
      </c>
      <c r="P19" s="2106">
        <f t="shared" si="6"/>
        <v>1.3</v>
      </c>
      <c r="Q19" s="2106" t="str">
        <f t="shared" si="7"/>
        <v xml:space="preserve"> Q1 1</v>
      </c>
      <c r="R19" s="2107" t="str">
        <f t="shared" si="8"/>
        <v>吸音</v>
      </c>
      <c r="S19" s="2108">
        <f t="shared" si="9"/>
        <v>0.2</v>
      </c>
      <c r="T19" s="2108">
        <f t="shared" si="10"/>
        <v>0.2</v>
      </c>
      <c r="U19" s="2108">
        <f t="shared" si="11"/>
        <v>0.2</v>
      </c>
      <c r="V19" s="2108">
        <f t="shared" si="12"/>
        <v>0.2</v>
      </c>
      <c r="W19" s="2108">
        <f t="shared" si="13"/>
        <v>0.2</v>
      </c>
      <c r="X19" s="2108">
        <f t="shared" si="14"/>
        <v>0.2</v>
      </c>
      <c r="Y19" s="2108">
        <f t="shared" si="15"/>
        <v>0</v>
      </c>
      <c r="Z19" s="2117">
        <f t="shared" si="16"/>
        <v>0.2</v>
      </c>
      <c r="AA19" s="2108">
        <f t="shared" si="21"/>
        <v>0.2</v>
      </c>
      <c r="AB19" s="2108">
        <f t="shared" si="17"/>
        <v>0.2</v>
      </c>
      <c r="AC19" s="2109">
        <f t="shared" si="18"/>
        <v>0.2</v>
      </c>
      <c r="AD19" s="2108">
        <f t="shared" si="19"/>
        <v>0.2</v>
      </c>
      <c r="AE19" s="2108">
        <f t="shared" si="20"/>
        <v>0</v>
      </c>
      <c r="AG19" s="2106">
        <v>1.3</v>
      </c>
      <c r="AH19" s="2110" t="s">
        <v>1040</v>
      </c>
      <c r="AI19" s="1529" t="s">
        <v>815</v>
      </c>
      <c r="AJ19" s="2119">
        <v>0.2</v>
      </c>
      <c r="AK19" s="2108">
        <v>0.2</v>
      </c>
      <c r="AL19" s="2108">
        <v>0.2</v>
      </c>
      <c r="AM19" s="2108">
        <v>0.2</v>
      </c>
      <c r="AN19" s="2119">
        <v>0.2</v>
      </c>
      <c r="AO19" s="2108">
        <v>0.2</v>
      </c>
      <c r="AP19" s="2108">
        <v>0.2</v>
      </c>
      <c r="AQ19" s="2119">
        <v>0.2</v>
      </c>
      <c r="AR19" s="2108"/>
      <c r="AS19" s="2113">
        <v>0.2</v>
      </c>
      <c r="AT19" s="2114"/>
      <c r="AU19" s="2113">
        <v>0.2</v>
      </c>
      <c r="AV19" s="2119">
        <v>0.2</v>
      </c>
      <c r="AX19" s="2106">
        <v>1.3</v>
      </c>
      <c r="AY19" s="2110" t="s">
        <v>1040</v>
      </c>
      <c r="AZ19" s="1529" t="s">
        <v>815</v>
      </c>
      <c r="BA19" s="2113">
        <v>0.3</v>
      </c>
      <c r="BB19" s="2113">
        <v>0.3</v>
      </c>
      <c r="BC19" s="2113">
        <v>0.3</v>
      </c>
      <c r="BD19" s="2113">
        <v>0.3</v>
      </c>
      <c r="BE19" s="2113">
        <v>0.3</v>
      </c>
      <c r="BF19" s="2113">
        <v>0.3</v>
      </c>
      <c r="BG19" s="2113">
        <v>0</v>
      </c>
      <c r="BH19" s="2115">
        <v>0.2</v>
      </c>
      <c r="BI19" s="2113">
        <v>0.3</v>
      </c>
      <c r="BJ19" s="2113">
        <v>0.3</v>
      </c>
      <c r="BK19" s="2114">
        <v>0.3</v>
      </c>
      <c r="BL19" s="2113">
        <v>0.3</v>
      </c>
      <c r="BM19" s="2113">
        <v>0</v>
      </c>
      <c r="BO19" s="2106">
        <v>1.3</v>
      </c>
      <c r="BP19" s="2110" t="s">
        <v>1040</v>
      </c>
      <c r="BQ19" s="1529" t="s">
        <v>815</v>
      </c>
      <c r="BR19" s="2113">
        <v>0.2</v>
      </c>
      <c r="BS19" s="2113">
        <v>0.2</v>
      </c>
      <c r="BT19" s="2113">
        <v>0.2</v>
      </c>
      <c r="BU19" s="2113">
        <v>0.2</v>
      </c>
      <c r="BV19" s="2113">
        <v>0.2</v>
      </c>
      <c r="BW19" s="2113">
        <v>0.2</v>
      </c>
      <c r="BX19" s="2113">
        <v>0</v>
      </c>
      <c r="BY19" s="2120">
        <v>0.2</v>
      </c>
      <c r="BZ19" s="2113">
        <v>0.2</v>
      </c>
      <c r="CA19" s="2113">
        <v>0.2</v>
      </c>
      <c r="CB19" s="2114">
        <v>0.2</v>
      </c>
      <c r="CC19" s="2113">
        <v>0.2</v>
      </c>
      <c r="CD19" s="2113">
        <v>0</v>
      </c>
      <c r="CE19" s="2554"/>
    </row>
    <row r="20" spans="1:84" s="1485" customFormat="1">
      <c r="A20"/>
      <c r="B20" s="2080">
        <f t="shared" si="0"/>
        <v>2</v>
      </c>
      <c r="C20" s="2121" t="str">
        <f t="shared" si="1"/>
        <v>温熱環境</v>
      </c>
      <c r="D20" s="2091">
        <f>IF(I$9=0,0,G20/I$9)</f>
        <v>0.35</v>
      </c>
      <c r="E20" s="2092">
        <f>IF(J$9=0,0,H20/J$9)</f>
        <v>0</v>
      </c>
      <c r="F20"/>
      <c r="G20" s="2092">
        <f t="shared" si="2"/>
        <v>0.35</v>
      </c>
      <c r="H20" s="2092">
        <f t="shared" si="3"/>
        <v>0</v>
      </c>
      <c r="I20" s="2092">
        <f>G21+G30+G31</f>
        <v>1</v>
      </c>
      <c r="J20" s="2092">
        <f>H21+H30+H31</f>
        <v>0</v>
      </c>
      <c r="K20" s="2092">
        <f>IF(スコア!M20=0,0,1)</f>
        <v>1</v>
      </c>
      <c r="L20" s="2092">
        <f>IF(スコア!O20=0,0,1)</f>
        <v>0</v>
      </c>
      <c r="M20" s="2092">
        <f t="shared" si="4"/>
        <v>0.35</v>
      </c>
      <c r="N20" s="2092">
        <f t="shared" si="5"/>
        <v>0</v>
      </c>
      <c r="O20"/>
      <c r="P20" s="2094">
        <f t="shared" si="6"/>
        <v>2</v>
      </c>
      <c r="Q20" s="2094" t="str">
        <f t="shared" si="7"/>
        <v xml:space="preserve"> Q1</v>
      </c>
      <c r="R20" s="2095" t="str">
        <f t="shared" si="8"/>
        <v>温熱環境</v>
      </c>
      <c r="S20" s="2096">
        <f t="shared" si="9"/>
        <v>0.35</v>
      </c>
      <c r="T20" s="2096">
        <f t="shared" si="10"/>
        <v>0.35</v>
      </c>
      <c r="U20" s="2096">
        <f t="shared" si="11"/>
        <v>0.35</v>
      </c>
      <c r="V20" s="2096">
        <f t="shared" si="12"/>
        <v>0.35</v>
      </c>
      <c r="W20" s="2096">
        <f t="shared" si="13"/>
        <v>0.35</v>
      </c>
      <c r="X20" s="2096">
        <f t="shared" si="14"/>
        <v>0.35</v>
      </c>
      <c r="Y20" s="2096">
        <f t="shared" si="15"/>
        <v>0.35</v>
      </c>
      <c r="Z20" s="2122">
        <f t="shared" si="16"/>
        <v>0.44</v>
      </c>
      <c r="AA20" s="2096">
        <f t="shared" si="21"/>
        <v>0.35</v>
      </c>
      <c r="AB20" s="2096">
        <f t="shared" si="17"/>
        <v>0.35</v>
      </c>
      <c r="AC20" s="2098">
        <f t="shared" si="18"/>
        <v>0</v>
      </c>
      <c r="AD20" s="2096">
        <f t="shared" si="19"/>
        <v>0</v>
      </c>
      <c r="AE20" s="2096">
        <f t="shared" si="20"/>
        <v>0</v>
      </c>
      <c r="AF20"/>
      <c r="AG20" s="2094">
        <v>2</v>
      </c>
      <c r="AH20" s="2099" t="s">
        <v>1039</v>
      </c>
      <c r="AI20" s="2123" t="s">
        <v>1032</v>
      </c>
      <c r="AJ20" s="2096">
        <v>0.35</v>
      </c>
      <c r="AK20" s="2096">
        <v>0.35</v>
      </c>
      <c r="AL20" s="2096">
        <v>0.35</v>
      </c>
      <c r="AM20" s="2096">
        <v>0.35</v>
      </c>
      <c r="AN20" s="2096">
        <v>0.35</v>
      </c>
      <c r="AO20" s="2096">
        <v>0.35</v>
      </c>
      <c r="AP20" s="2096">
        <v>0.35</v>
      </c>
      <c r="AQ20" s="2096">
        <v>0.44</v>
      </c>
      <c r="AR20" s="2096">
        <v>0.35</v>
      </c>
      <c r="AS20" s="2100">
        <v>0.35</v>
      </c>
      <c r="AT20" s="2101"/>
      <c r="AU20" s="2100"/>
      <c r="AV20" s="2100"/>
      <c r="AW20"/>
      <c r="AX20" s="2094">
        <v>2</v>
      </c>
      <c r="AY20" s="2099" t="s">
        <v>1039</v>
      </c>
      <c r="AZ20" s="2123" t="s">
        <v>1032</v>
      </c>
      <c r="BA20" s="2100">
        <v>0.35</v>
      </c>
      <c r="BB20" s="2100">
        <v>0.35</v>
      </c>
      <c r="BC20" s="2100">
        <v>0.35</v>
      </c>
      <c r="BD20" s="2100">
        <v>0.35</v>
      </c>
      <c r="BE20" s="2100">
        <v>0.35</v>
      </c>
      <c r="BF20" s="2100">
        <v>0.35</v>
      </c>
      <c r="BG20" s="2100">
        <v>0.35</v>
      </c>
      <c r="BH20" s="2124">
        <v>0.44</v>
      </c>
      <c r="BI20" s="2100">
        <v>0.35</v>
      </c>
      <c r="BJ20" s="2100">
        <v>0.35</v>
      </c>
      <c r="BK20" s="2101"/>
      <c r="BL20" s="2100"/>
      <c r="BM20" s="2100"/>
      <c r="BN20"/>
      <c r="BO20" s="2094">
        <v>2</v>
      </c>
      <c r="BP20" s="2099" t="s">
        <v>1039</v>
      </c>
      <c r="BQ20" s="2123" t="s">
        <v>1032</v>
      </c>
      <c r="BR20" s="2100">
        <v>0.35</v>
      </c>
      <c r="BS20" s="2100">
        <v>0.35</v>
      </c>
      <c r="BT20" s="2100">
        <v>0.35</v>
      </c>
      <c r="BU20" s="2100">
        <v>0.35</v>
      </c>
      <c r="BV20" s="2100">
        <v>0.35</v>
      </c>
      <c r="BW20" s="2100">
        <v>0.35</v>
      </c>
      <c r="BX20" s="2100">
        <v>0.35</v>
      </c>
      <c r="BY20" s="2124">
        <v>0.44</v>
      </c>
      <c r="BZ20" s="2100">
        <v>0.35</v>
      </c>
      <c r="CA20" s="2100">
        <v>0.35</v>
      </c>
      <c r="CB20" s="2101"/>
      <c r="CC20" s="2100"/>
      <c r="CD20" s="2100"/>
      <c r="CE20" s="2553"/>
      <c r="CF20"/>
    </row>
    <row r="21" spans="1:84">
      <c r="B21" s="2080">
        <f t="shared" si="0"/>
        <v>2.1</v>
      </c>
      <c r="C21" s="2125" t="str">
        <f t="shared" si="1"/>
        <v>室温制御</v>
      </c>
      <c r="D21" s="2104">
        <f>IF(I$20=0,0,G21/I$20)</f>
        <v>0.5</v>
      </c>
      <c r="E21" s="2105">
        <f>IF(J$20=0,0,H21/J$20)</f>
        <v>0</v>
      </c>
      <c r="G21" s="2105">
        <f t="shared" si="2"/>
        <v>0.5</v>
      </c>
      <c r="H21" s="2105">
        <f t="shared" si="3"/>
        <v>0</v>
      </c>
      <c r="I21" s="2105">
        <f>SUM(G22:G29)</f>
        <v>0.8</v>
      </c>
      <c r="J21" s="2105">
        <f>SUM(H22:H29)</f>
        <v>0</v>
      </c>
      <c r="K21" s="2105">
        <f>IF(スコア!M21=0,0,1)</f>
        <v>1</v>
      </c>
      <c r="L21" s="2105">
        <f>IF(スコア!O21=0,0,1)</f>
        <v>0</v>
      </c>
      <c r="M21" s="2105">
        <f t="shared" si="4"/>
        <v>0.5</v>
      </c>
      <c r="N21" s="2105">
        <f t="shared" si="5"/>
        <v>0</v>
      </c>
      <c r="P21" s="2106">
        <f t="shared" si="6"/>
        <v>2.1</v>
      </c>
      <c r="Q21" s="2106" t="str">
        <f t="shared" si="7"/>
        <v xml:space="preserve"> Q1 2</v>
      </c>
      <c r="R21" s="2107" t="str">
        <f t="shared" si="8"/>
        <v>室温制御</v>
      </c>
      <c r="S21" s="2108">
        <f t="shared" si="9"/>
        <v>0.5</v>
      </c>
      <c r="T21" s="2108">
        <f t="shared" si="10"/>
        <v>0.5</v>
      </c>
      <c r="U21" s="2108">
        <f t="shared" si="11"/>
        <v>0.5</v>
      </c>
      <c r="V21" s="2108">
        <f t="shared" si="12"/>
        <v>0.5</v>
      </c>
      <c r="W21" s="2108">
        <f t="shared" si="13"/>
        <v>0.5</v>
      </c>
      <c r="X21" s="2108">
        <f t="shared" si="14"/>
        <v>0.5</v>
      </c>
      <c r="Y21" s="2108">
        <f t="shared" si="15"/>
        <v>0.5</v>
      </c>
      <c r="Z21" s="2126">
        <f t="shared" si="16"/>
        <v>0.5</v>
      </c>
      <c r="AA21" s="2108">
        <f t="shared" si="21"/>
        <v>0.5</v>
      </c>
      <c r="AB21" s="2108">
        <f t="shared" si="17"/>
        <v>0.5</v>
      </c>
      <c r="AC21" s="2109">
        <f t="shared" si="18"/>
        <v>0.5</v>
      </c>
      <c r="AD21" s="2108">
        <f t="shared" si="19"/>
        <v>0.5</v>
      </c>
      <c r="AE21" s="2108">
        <f t="shared" si="20"/>
        <v>0.5</v>
      </c>
      <c r="AG21" s="2106">
        <v>2.1</v>
      </c>
      <c r="AH21" s="2110" t="s">
        <v>1047</v>
      </c>
      <c r="AI21" s="2107" t="s">
        <v>817</v>
      </c>
      <c r="AJ21" s="2108">
        <v>0.5</v>
      </c>
      <c r="AK21" s="2108">
        <v>0.5</v>
      </c>
      <c r="AL21" s="2108">
        <v>0.5</v>
      </c>
      <c r="AM21" s="2108">
        <v>0.5</v>
      </c>
      <c r="AN21" s="2108">
        <v>0.5</v>
      </c>
      <c r="AO21" s="2108">
        <v>0.5</v>
      </c>
      <c r="AP21" s="2108">
        <v>0.5</v>
      </c>
      <c r="AQ21" s="2108">
        <v>0.5</v>
      </c>
      <c r="AR21" s="2108">
        <v>0.5</v>
      </c>
      <c r="AS21" s="2113">
        <v>0.5</v>
      </c>
      <c r="AT21" s="2114">
        <v>1</v>
      </c>
      <c r="AU21" s="2113">
        <v>1</v>
      </c>
      <c r="AV21" s="2113">
        <v>1</v>
      </c>
      <c r="AX21" s="2106">
        <v>2.1</v>
      </c>
      <c r="AY21" s="2110" t="s">
        <v>1047</v>
      </c>
      <c r="AZ21" s="2107" t="s">
        <v>817</v>
      </c>
      <c r="BA21" s="2113">
        <v>0.5</v>
      </c>
      <c r="BB21" s="2113">
        <v>0.5</v>
      </c>
      <c r="BC21" s="2113">
        <v>0.5</v>
      </c>
      <c r="BD21" s="2113">
        <v>0.5</v>
      </c>
      <c r="BE21" s="2113">
        <v>0.5</v>
      </c>
      <c r="BF21" s="2113">
        <v>0.5</v>
      </c>
      <c r="BG21" s="2113">
        <v>0.5</v>
      </c>
      <c r="BH21" s="2115">
        <v>0.5</v>
      </c>
      <c r="BI21" s="2113">
        <v>0.5</v>
      </c>
      <c r="BJ21" s="2113">
        <v>0.5</v>
      </c>
      <c r="BK21" s="2114">
        <v>0.5</v>
      </c>
      <c r="BL21" s="2113">
        <v>0.5</v>
      </c>
      <c r="BM21" s="2113">
        <v>0.5</v>
      </c>
      <c r="BO21" s="2106">
        <v>2.1</v>
      </c>
      <c r="BP21" s="2110" t="s">
        <v>1047</v>
      </c>
      <c r="BQ21" s="2107" t="s">
        <v>817</v>
      </c>
      <c r="BR21" s="2113">
        <v>0.5</v>
      </c>
      <c r="BS21" s="2113">
        <v>0.5</v>
      </c>
      <c r="BT21" s="2113">
        <v>0.5</v>
      </c>
      <c r="BU21" s="2113">
        <v>0.5</v>
      </c>
      <c r="BV21" s="2113">
        <v>0.5</v>
      </c>
      <c r="BW21" s="2113">
        <v>0.5</v>
      </c>
      <c r="BX21" s="2113">
        <v>0.5</v>
      </c>
      <c r="BY21" s="2115">
        <v>0.5</v>
      </c>
      <c r="BZ21" s="2113">
        <v>0.5</v>
      </c>
      <c r="CA21" s="2113">
        <v>0.5</v>
      </c>
      <c r="CB21" s="2114">
        <v>0.5</v>
      </c>
      <c r="CC21" s="2113">
        <v>0.5</v>
      </c>
      <c r="CD21" s="2113">
        <v>0.5</v>
      </c>
      <c r="CE21" s="2554"/>
    </row>
    <row r="22" spans="1:84">
      <c r="B22" s="2080" t="str">
        <f t="shared" si="0"/>
        <v>2.1.1</v>
      </c>
      <c r="C22" s="2103" t="str">
        <f t="shared" si="1"/>
        <v>室温</v>
      </c>
      <c r="D22" s="2093">
        <f t="shared" ref="D22:E29" si="23">IF(I$21&gt;0,G22/I$21,0)</f>
        <v>0.37499999999999994</v>
      </c>
      <c r="E22" s="2105">
        <f t="shared" si="23"/>
        <v>0</v>
      </c>
      <c r="G22" s="2105">
        <f t="shared" si="2"/>
        <v>0.3</v>
      </c>
      <c r="H22" s="2105">
        <f t="shared" si="3"/>
        <v>0</v>
      </c>
      <c r="I22" s="2105"/>
      <c r="J22" s="2105"/>
      <c r="K22" s="2105">
        <f>IF(スコア!M22=0,0,1)</f>
        <v>1</v>
      </c>
      <c r="L22" s="2105">
        <f>IF(スコア!O22=0,0,1)</f>
        <v>1</v>
      </c>
      <c r="M22" s="2105">
        <f t="shared" si="4"/>
        <v>0.3</v>
      </c>
      <c r="N22" s="2105">
        <f t="shared" si="5"/>
        <v>0</v>
      </c>
      <c r="P22" s="2106" t="str">
        <f t="shared" si="6"/>
        <v>2.1.1</v>
      </c>
      <c r="Q22" s="2106" t="str">
        <f t="shared" si="7"/>
        <v xml:space="preserve"> Q1 2.1</v>
      </c>
      <c r="R22" s="2107" t="str">
        <f t="shared" si="8"/>
        <v>室温</v>
      </c>
      <c r="S22" s="2108">
        <f t="shared" si="9"/>
        <v>0.3</v>
      </c>
      <c r="T22" s="2108">
        <f t="shared" si="10"/>
        <v>0.3</v>
      </c>
      <c r="U22" s="2108">
        <f t="shared" si="11"/>
        <v>0.3</v>
      </c>
      <c r="V22" s="2108">
        <f t="shared" si="12"/>
        <v>0.3</v>
      </c>
      <c r="W22" s="2108">
        <f t="shared" si="13"/>
        <v>0.3</v>
      </c>
      <c r="X22" s="2108">
        <f t="shared" si="14"/>
        <v>0.3</v>
      </c>
      <c r="Y22" s="2108">
        <f t="shared" si="15"/>
        <v>0.5</v>
      </c>
      <c r="Z22" s="2126">
        <f t="shared" si="16"/>
        <v>0.3</v>
      </c>
      <c r="AA22" s="2108">
        <f t="shared" si="21"/>
        <v>0.3</v>
      </c>
      <c r="AB22" s="2108">
        <f t="shared" si="17"/>
        <v>0.3</v>
      </c>
      <c r="AC22" s="2109">
        <f t="shared" si="18"/>
        <v>0.4</v>
      </c>
      <c r="AD22" s="2108">
        <f t="shared" si="19"/>
        <v>0.4</v>
      </c>
      <c r="AE22" s="2108">
        <f t="shared" si="20"/>
        <v>0.5</v>
      </c>
      <c r="AG22" s="2106" t="s">
        <v>281</v>
      </c>
      <c r="AH22" s="2110" t="s">
        <v>566</v>
      </c>
      <c r="AI22" s="2111" t="s">
        <v>567</v>
      </c>
      <c r="AJ22" s="2108">
        <v>0.3</v>
      </c>
      <c r="AK22" s="2108">
        <v>0.3</v>
      </c>
      <c r="AL22" s="2108">
        <v>0.3</v>
      </c>
      <c r="AM22" s="2108">
        <v>0.3</v>
      </c>
      <c r="AN22" s="2108">
        <v>0.3</v>
      </c>
      <c r="AO22" s="2108">
        <v>0.3</v>
      </c>
      <c r="AP22" s="2108">
        <v>0.5</v>
      </c>
      <c r="AQ22" s="2126">
        <v>0.3</v>
      </c>
      <c r="AR22" s="2108">
        <v>0.3</v>
      </c>
      <c r="AS22" s="2113">
        <v>0.3</v>
      </c>
      <c r="AT22" s="2114"/>
      <c r="AU22" s="2113"/>
      <c r="AV22" s="2113"/>
      <c r="AX22" s="2106" t="s">
        <v>281</v>
      </c>
      <c r="AY22" s="2110" t="s">
        <v>566</v>
      </c>
      <c r="AZ22" s="2111" t="s">
        <v>1007</v>
      </c>
      <c r="BA22" s="2113">
        <v>0.3</v>
      </c>
      <c r="BB22" s="2113">
        <v>0.6</v>
      </c>
      <c r="BC22" s="2113">
        <v>0.3</v>
      </c>
      <c r="BD22" s="2113">
        <v>0.3</v>
      </c>
      <c r="BE22" s="2113">
        <v>0.3</v>
      </c>
      <c r="BF22" s="2113">
        <v>0.3</v>
      </c>
      <c r="BG22" s="2113">
        <v>0.6</v>
      </c>
      <c r="BH22" s="2115">
        <v>0.3</v>
      </c>
      <c r="BI22" s="2113">
        <v>0.3</v>
      </c>
      <c r="BJ22" s="2113">
        <v>0.6</v>
      </c>
      <c r="BK22" s="2114">
        <v>0.6</v>
      </c>
      <c r="BL22" s="2113">
        <v>0.6</v>
      </c>
      <c r="BM22" s="2113">
        <v>0.6</v>
      </c>
      <c r="BO22" s="2106" t="s">
        <v>281</v>
      </c>
      <c r="BP22" s="2110" t="s">
        <v>566</v>
      </c>
      <c r="BQ22" s="2111" t="s">
        <v>1007</v>
      </c>
      <c r="BR22" s="2113">
        <v>0.3</v>
      </c>
      <c r="BS22" s="2113">
        <v>0.3</v>
      </c>
      <c r="BT22" s="2113">
        <v>0.3</v>
      </c>
      <c r="BU22" s="2113">
        <v>0.3</v>
      </c>
      <c r="BV22" s="2113">
        <v>0.3</v>
      </c>
      <c r="BW22" s="2113">
        <v>0.3</v>
      </c>
      <c r="BX22" s="2113">
        <v>0.5</v>
      </c>
      <c r="BY22" s="2115">
        <v>0.3</v>
      </c>
      <c r="BZ22" s="2113">
        <v>0.3</v>
      </c>
      <c r="CA22" s="2113">
        <v>0.3</v>
      </c>
      <c r="CB22" s="2114">
        <v>0.4</v>
      </c>
      <c r="CC22" s="2113">
        <v>0.4</v>
      </c>
      <c r="CD22" s="2113">
        <v>0.5</v>
      </c>
      <c r="CE22" s="2554"/>
    </row>
    <row r="23" spans="1:84" hidden="1">
      <c r="B23" s="2080" t="str">
        <f t="shared" si="0"/>
        <v>2.1.2</v>
      </c>
      <c r="C23" s="2103" t="str">
        <f t="shared" si="1"/>
        <v>負荷変動・追従制御性</v>
      </c>
      <c r="D23" s="2093">
        <f t="shared" si="23"/>
        <v>0</v>
      </c>
      <c r="E23" s="2105">
        <f t="shared" si="23"/>
        <v>0</v>
      </c>
      <c r="G23" s="2105">
        <f t="shared" si="2"/>
        <v>0</v>
      </c>
      <c r="H23" s="2105">
        <f t="shared" si="3"/>
        <v>0</v>
      </c>
      <c r="I23" s="2105"/>
      <c r="J23" s="2105"/>
      <c r="K23" s="2105">
        <f>IF(スコア!M23=0,0,1)</f>
        <v>0</v>
      </c>
      <c r="L23" s="2105">
        <f>IF(スコア!O23=0,0,1)</f>
        <v>0</v>
      </c>
      <c r="M23" s="2105">
        <f t="shared" si="4"/>
        <v>0</v>
      </c>
      <c r="N23" s="2105">
        <f t="shared" si="5"/>
        <v>0</v>
      </c>
      <c r="P23" s="2106" t="str">
        <f t="shared" si="6"/>
        <v>2.1.2</v>
      </c>
      <c r="Q23" s="2106" t="str">
        <f t="shared" si="7"/>
        <v xml:space="preserve"> Q1 2.1</v>
      </c>
      <c r="R23" s="2107" t="str">
        <f t="shared" si="8"/>
        <v>負荷変動・追従制御性</v>
      </c>
      <c r="S23" s="2127">
        <f t="shared" si="9"/>
        <v>0</v>
      </c>
      <c r="T23" s="2108">
        <f t="shared" si="10"/>
        <v>0.2</v>
      </c>
      <c r="U23" s="2108">
        <f t="shared" si="11"/>
        <v>0.2</v>
      </c>
      <c r="V23" s="2108">
        <f t="shared" si="12"/>
        <v>0.2</v>
      </c>
      <c r="W23" s="2108">
        <f t="shared" si="13"/>
        <v>0</v>
      </c>
      <c r="X23" s="2108">
        <f t="shared" si="14"/>
        <v>0</v>
      </c>
      <c r="Y23" s="2108">
        <f t="shared" si="15"/>
        <v>0</v>
      </c>
      <c r="Z23" s="2126">
        <f t="shared" si="16"/>
        <v>0.3</v>
      </c>
      <c r="AA23" s="2127">
        <f t="shared" si="21"/>
        <v>0</v>
      </c>
      <c r="AB23" s="2108">
        <f t="shared" si="17"/>
        <v>0.2</v>
      </c>
      <c r="AC23" s="2109">
        <f t="shared" si="18"/>
        <v>0</v>
      </c>
      <c r="AD23" s="2108">
        <f t="shared" si="19"/>
        <v>0</v>
      </c>
      <c r="AE23" s="2108">
        <f t="shared" si="20"/>
        <v>0</v>
      </c>
      <c r="AG23" s="2106" t="s">
        <v>568</v>
      </c>
      <c r="AH23" s="2110" t="s">
        <v>566</v>
      </c>
      <c r="AI23" s="2111" t="s">
        <v>569</v>
      </c>
      <c r="AJ23" s="2118"/>
      <c r="AK23" s="2118">
        <v>0.2</v>
      </c>
      <c r="AL23" s="2118">
        <v>0.2</v>
      </c>
      <c r="AM23" s="2118">
        <v>0.2</v>
      </c>
      <c r="AN23" s="2118"/>
      <c r="AO23" s="2118"/>
      <c r="AP23" s="2118"/>
      <c r="AQ23" s="2128">
        <v>0.3</v>
      </c>
      <c r="AR23" s="2118"/>
      <c r="AS23" s="2113">
        <v>0.2</v>
      </c>
      <c r="AT23" s="2114"/>
      <c r="AU23" s="2113"/>
      <c r="AV23" s="2113"/>
      <c r="AX23" s="2106" t="s">
        <v>568</v>
      </c>
      <c r="AY23" s="2110" t="s">
        <v>566</v>
      </c>
      <c r="AZ23" s="2111" t="s">
        <v>569</v>
      </c>
      <c r="BA23" s="2129"/>
      <c r="BB23" s="2113"/>
      <c r="BC23" s="2113"/>
      <c r="BD23" s="2113"/>
      <c r="BE23" s="2113"/>
      <c r="BF23" s="2113"/>
      <c r="BG23" s="2113"/>
      <c r="BH23" s="2115"/>
      <c r="BI23" s="2129"/>
      <c r="BJ23" s="2113"/>
      <c r="BK23" s="2114"/>
      <c r="BL23" s="2113"/>
      <c r="BM23" s="2113"/>
      <c r="BO23" s="2106" t="s">
        <v>568</v>
      </c>
      <c r="BP23" s="2110" t="s">
        <v>566</v>
      </c>
      <c r="BQ23" s="2111" t="s">
        <v>569</v>
      </c>
      <c r="BR23" s="2129"/>
      <c r="BS23" s="2113">
        <v>0.2</v>
      </c>
      <c r="BT23" s="2113">
        <v>0.2</v>
      </c>
      <c r="BU23" s="2113">
        <v>0.2</v>
      </c>
      <c r="BV23" s="2113"/>
      <c r="BW23" s="2113"/>
      <c r="BX23" s="2113"/>
      <c r="BY23" s="2115">
        <v>0.3</v>
      </c>
      <c r="BZ23" s="2129"/>
      <c r="CA23" s="2113">
        <v>0.2</v>
      </c>
      <c r="CB23" s="2114"/>
      <c r="CC23" s="2113"/>
      <c r="CD23" s="2113"/>
      <c r="CE23" s="2554"/>
    </row>
    <row r="24" spans="1:84">
      <c r="B24" s="2080" t="str">
        <f t="shared" si="0"/>
        <v>2.1.3</v>
      </c>
      <c r="C24" s="2103" t="str">
        <f t="shared" si="1"/>
        <v>外皮性能</v>
      </c>
      <c r="D24" s="2093">
        <f t="shared" si="23"/>
        <v>0.25</v>
      </c>
      <c r="E24" s="2105">
        <f t="shared" si="23"/>
        <v>0</v>
      </c>
      <c r="G24" s="2105">
        <f t="shared" si="2"/>
        <v>0.2</v>
      </c>
      <c r="H24" s="2105">
        <f t="shared" si="3"/>
        <v>0</v>
      </c>
      <c r="I24" s="2105"/>
      <c r="J24" s="2105"/>
      <c r="K24" s="2105">
        <f>IF(スコア!M24=0,0,1)</f>
        <v>1</v>
      </c>
      <c r="L24" s="2105">
        <f>IF(スコア!O24=0,0,1)</f>
        <v>1</v>
      </c>
      <c r="M24" s="2105">
        <f t="shared" si="4"/>
        <v>0.2</v>
      </c>
      <c r="N24" s="2105">
        <f t="shared" si="5"/>
        <v>0</v>
      </c>
      <c r="P24" s="2106" t="str">
        <f t="shared" si="6"/>
        <v>2.1.3</v>
      </c>
      <c r="Q24" s="2106" t="str">
        <f t="shared" si="7"/>
        <v xml:space="preserve"> Q1 2.1</v>
      </c>
      <c r="R24" s="2107" t="str">
        <f t="shared" si="8"/>
        <v>外皮性能</v>
      </c>
      <c r="S24" s="2108">
        <f t="shared" si="9"/>
        <v>0.2</v>
      </c>
      <c r="T24" s="2108">
        <f t="shared" si="10"/>
        <v>0.2</v>
      </c>
      <c r="U24" s="2108">
        <f t="shared" si="11"/>
        <v>0.1</v>
      </c>
      <c r="V24" s="2108">
        <f t="shared" si="12"/>
        <v>0.1</v>
      </c>
      <c r="W24" s="2108">
        <f t="shared" si="13"/>
        <v>0.2</v>
      </c>
      <c r="X24" s="2108">
        <f t="shared" si="14"/>
        <v>0.2</v>
      </c>
      <c r="Y24" s="2108">
        <f t="shared" si="15"/>
        <v>0.3</v>
      </c>
      <c r="Z24" s="2126">
        <f t="shared" si="16"/>
        <v>0.1</v>
      </c>
      <c r="AA24" s="2108">
        <f t="shared" si="21"/>
        <v>0.2</v>
      </c>
      <c r="AB24" s="2108">
        <f t="shared" si="17"/>
        <v>0.2</v>
      </c>
      <c r="AC24" s="2109">
        <f t="shared" si="18"/>
        <v>0.3</v>
      </c>
      <c r="AD24" s="2108">
        <f t="shared" si="19"/>
        <v>0.3</v>
      </c>
      <c r="AE24" s="2108">
        <f t="shared" si="20"/>
        <v>0.3</v>
      </c>
      <c r="AG24" s="2106" t="s">
        <v>570</v>
      </c>
      <c r="AH24" s="2110" t="s">
        <v>566</v>
      </c>
      <c r="AI24" s="2111" t="s">
        <v>571</v>
      </c>
      <c r="AJ24" s="2108">
        <v>0.2</v>
      </c>
      <c r="AK24" s="2108">
        <v>0.2</v>
      </c>
      <c r="AL24" s="2108">
        <v>0.1</v>
      </c>
      <c r="AM24" s="2108">
        <v>0.1</v>
      </c>
      <c r="AN24" s="2108">
        <v>0.2</v>
      </c>
      <c r="AO24" s="2108">
        <v>0.2</v>
      </c>
      <c r="AP24" s="2108">
        <v>0.3</v>
      </c>
      <c r="AQ24" s="2126">
        <v>0.1</v>
      </c>
      <c r="AR24" s="2108">
        <v>0.2</v>
      </c>
      <c r="AS24" s="2113">
        <v>0.2</v>
      </c>
      <c r="AT24" s="2114">
        <v>0.5</v>
      </c>
      <c r="AU24" s="2113">
        <v>0.5</v>
      </c>
      <c r="AV24" s="2113">
        <v>0.6</v>
      </c>
      <c r="AX24" s="2106" t="s">
        <v>570</v>
      </c>
      <c r="AY24" s="2110" t="s">
        <v>566</v>
      </c>
      <c r="AZ24" s="2111" t="s">
        <v>571</v>
      </c>
      <c r="BA24" s="2113">
        <v>0.2</v>
      </c>
      <c r="BB24" s="2113">
        <v>0.4</v>
      </c>
      <c r="BC24" s="2113">
        <v>0.2</v>
      </c>
      <c r="BD24" s="2113">
        <v>0.2</v>
      </c>
      <c r="BE24" s="2113">
        <v>0.2</v>
      </c>
      <c r="BF24" s="2113">
        <v>0.2</v>
      </c>
      <c r="BG24" s="2113">
        <v>0.4</v>
      </c>
      <c r="BH24" s="2115">
        <v>0.2</v>
      </c>
      <c r="BI24" s="2113">
        <v>0.2</v>
      </c>
      <c r="BJ24" s="2113">
        <v>0.4</v>
      </c>
      <c r="BK24" s="2114">
        <v>0.4</v>
      </c>
      <c r="BL24" s="2113">
        <v>0.4</v>
      </c>
      <c r="BM24" s="2113">
        <v>0.4</v>
      </c>
      <c r="BO24" s="2106" t="s">
        <v>570</v>
      </c>
      <c r="BP24" s="2110" t="s">
        <v>566</v>
      </c>
      <c r="BQ24" s="2111" t="s">
        <v>571</v>
      </c>
      <c r="BR24" s="2113">
        <v>0.2</v>
      </c>
      <c r="BS24" s="2113">
        <v>0.2</v>
      </c>
      <c r="BT24" s="2113">
        <v>0.1</v>
      </c>
      <c r="BU24" s="2113">
        <v>0.1</v>
      </c>
      <c r="BV24" s="2113">
        <v>0.2</v>
      </c>
      <c r="BW24" s="2113">
        <v>0.2</v>
      </c>
      <c r="BX24" s="2113">
        <v>0.3</v>
      </c>
      <c r="BY24" s="2115">
        <v>0.1</v>
      </c>
      <c r="BZ24" s="2113">
        <v>0.2</v>
      </c>
      <c r="CA24" s="2113">
        <v>0.2</v>
      </c>
      <c r="CB24" s="2114">
        <v>0.3</v>
      </c>
      <c r="CC24" s="2113">
        <v>0.3</v>
      </c>
      <c r="CD24" s="2113">
        <v>0.3</v>
      </c>
      <c r="CE24" s="2554"/>
    </row>
    <row r="25" spans="1:84">
      <c r="B25" s="2080" t="str">
        <f t="shared" si="0"/>
        <v>2.1.4</v>
      </c>
      <c r="C25" s="2103" t="str">
        <f t="shared" si="1"/>
        <v>ゾーン別制御性</v>
      </c>
      <c r="D25" s="2093">
        <f t="shared" si="23"/>
        <v>0.37499999999999994</v>
      </c>
      <c r="E25" s="2105">
        <f t="shared" si="23"/>
        <v>0</v>
      </c>
      <c r="G25" s="2105">
        <f t="shared" si="2"/>
        <v>0.3</v>
      </c>
      <c r="H25" s="2105">
        <f t="shared" si="3"/>
        <v>0</v>
      </c>
      <c r="I25" s="2105"/>
      <c r="J25" s="2105"/>
      <c r="K25" s="2105">
        <f>IF(スコア!M25=0,0,1)</f>
        <v>1</v>
      </c>
      <c r="L25" s="2105">
        <f>IF(スコア!O25=0,0,1)</f>
        <v>0</v>
      </c>
      <c r="M25" s="2105">
        <f t="shared" si="4"/>
        <v>0.3</v>
      </c>
      <c r="N25" s="2105">
        <f t="shared" si="5"/>
        <v>0</v>
      </c>
      <c r="P25" s="2106" t="str">
        <f t="shared" si="6"/>
        <v>2.1.4</v>
      </c>
      <c r="Q25" s="2106" t="str">
        <f t="shared" si="7"/>
        <v xml:space="preserve"> Q1 2.1</v>
      </c>
      <c r="R25" s="2107" t="str">
        <f t="shared" si="8"/>
        <v>ゾーン別制御性</v>
      </c>
      <c r="S25" s="2108">
        <f t="shared" si="9"/>
        <v>0.3</v>
      </c>
      <c r="T25" s="2108">
        <f t="shared" si="10"/>
        <v>0</v>
      </c>
      <c r="U25" s="2108">
        <f t="shared" si="11"/>
        <v>0.2</v>
      </c>
      <c r="V25" s="2108">
        <f t="shared" si="12"/>
        <v>0.2</v>
      </c>
      <c r="W25" s="2108">
        <f t="shared" si="13"/>
        <v>0.3</v>
      </c>
      <c r="X25" s="2108">
        <f t="shared" si="14"/>
        <v>0.3</v>
      </c>
      <c r="Y25" s="2108">
        <f t="shared" si="15"/>
        <v>0</v>
      </c>
      <c r="Z25" s="2126">
        <f t="shared" si="16"/>
        <v>0.2</v>
      </c>
      <c r="AA25" s="2108">
        <f t="shared" si="21"/>
        <v>0.3</v>
      </c>
      <c r="AB25" s="2108">
        <f t="shared" si="17"/>
        <v>0</v>
      </c>
      <c r="AC25" s="2109">
        <f t="shared" si="18"/>
        <v>0</v>
      </c>
      <c r="AD25" s="2108">
        <f t="shared" si="19"/>
        <v>0</v>
      </c>
      <c r="AE25" s="2108">
        <f t="shared" si="20"/>
        <v>0</v>
      </c>
      <c r="AG25" s="2106" t="s">
        <v>2772</v>
      </c>
      <c r="AH25" s="2110" t="s">
        <v>566</v>
      </c>
      <c r="AI25" s="2111" t="s">
        <v>2773</v>
      </c>
      <c r="AJ25" s="2108">
        <v>0.3</v>
      </c>
      <c r="AK25" s="2108"/>
      <c r="AL25" s="2108">
        <v>0.2</v>
      </c>
      <c r="AM25" s="2108">
        <v>0.2</v>
      </c>
      <c r="AN25" s="2108">
        <v>0.3</v>
      </c>
      <c r="AO25" s="2108">
        <v>0.3</v>
      </c>
      <c r="AP25" s="2108"/>
      <c r="AQ25" s="2126">
        <v>0.2</v>
      </c>
      <c r="AR25" s="2108">
        <v>0.3</v>
      </c>
      <c r="AS25" s="2113">
        <v>0</v>
      </c>
      <c r="AT25" s="2114"/>
      <c r="AU25" s="2113"/>
      <c r="AV25" s="2113"/>
      <c r="AX25" s="2106" t="s">
        <v>2772</v>
      </c>
      <c r="AY25" s="2110" t="s">
        <v>566</v>
      </c>
      <c r="AZ25" s="2111" t="s">
        <v>2773</v>
      </c>
      <c r="BA25" s="2113">
        <v>0.5</v>
      </c>
      <c r="BB25" s="2113"/>
      <c r="BC25" s="2113">
        <v>0.5</v>
      </c>
      <c r="BD25" s="2113">
        <v>0.5</v>
      </c>
      <c r="BE25" s="2113">
        <v>0.5</v>
      </c>
      <c r="BF25" s="2113">
        <v>0.5</v>
      </c>
      <c r="BG25" s="2113"/>
      <c r="BH25" s="2115">
        <v>0.5</v>
      </c>
      <c r="BI25" s="2113">
        <v>0.5</v>
      </c>
      <c r="BJ25" s="2113"/>
      <c r="BK25" s="2114"/>
      <c r="BL25" s="2113"/>
      <c r="BM25" s="2113"/>
      <c r="BO25" s="2106" t="s">
        <v>2772</v>
      </c>
      <c r="BP25" s="2110" t="s">
        <v>566</v>
      </c>
      <c r="BQ25" s="2111" t="s">
        <v>2773</v>
      </c>
      <c r="BR25" s="2113">
        <v>0.3</v>
      </c>
      <c r="BS25" s="2113"/>
      <c r="BT25" s="2113">
        <v>0.2</v>
      </c>
      <c r="BU25" s="2113">
        <v>0.2</v>
      </c>
      <c r="BV25" s="2113">
        <v>0.3</v>
      </c>
      <c r="BW25" s="2113">
        <v>0.3</v>
      </c>
      <c r="BX25" s="2113"/>
      <c r="BY25" s="2115">
        <v>0.2</v>
      </c>
      <c r="BZ25" s="2113">
        <v>0.3</v>
      </c>
      <c r="CA25" s="2113"/>
      <c r="CB25" s="2114"/>
      <c r="CC25" s="2113"/>
      <c r="CD25" s="2113"/>
      <c r="CE25" s="2554"/>
    </row>
    <row r="26" spans="1:84" hidden="1">
      <c r="B26" s="2080" t="str">
        <f t="shared" si="0"/>
        <v>2.1.5</v>
      </c>
      <c r="C26" s="2103" t="str">
        <f t="shared" si="1"/>
        <v>温度・湿度制御</v>
      </c>
      <c r="D26" s="2093">
        <f t="shared" si="23"/>
        <v>0</v>
      </c>
      <c r="E26" s="2105">
        <f t="shared" si="23"/>
        <v>0</v>
      </c>
      <c r="G26" s="2105">
        <f t="shared" si="2"/>
        <v>0</v>
      </c>
      <c r="H26" s="2105">
        <f t="shared" si="3"/>
        <v>0</v>
      </c>
      <c r="I26" s="2105"/>
      <c r="J26" s="2105"/>
      <c r="K26" s="2105">
        <f>IF(スコア!M26=0,0,1)</f>
        <v>0</v>
      </c>
      <c r="L26" s="2105">
        <f>IF(スコア!O26=0,0,1)</f>
        <v>0</v>
      </c>
      <c r="M26" s="2105">
        <f t="shared" si="4"/>
        <v>0.1</v>
      </c>
      <c r="N26" s="2105">
        <f t="shared" si="5"/>
        <v>0</v>
      </c>
      <c r="P26" s="2106" t="str">
        <f t="shared" si="6"/>
        <v>2.1.5</v>
      </c>
      <c r="Q26" s="2106" t="str">
        <f t="shared" si="7"/>
        <v xml:space="preserve"> Q1 2.1</v>
      </c>
      <c r="R26" s="2107" t="str">
        <f t="shared" si="8"/>
        <v>温度・湿度制御</v>
      </c>
      <c r="S26" s="2108">
        <f t="shared" si="9"/>
        <v>0.1</v>
      </c>
      <c r="T26" s="2108">
        <f t="shared" si="10"/>
        <v>0.1</v>
      </c>
      <c r="U26" s="2108">
        <f t="shared" si="11"/>
        <v>0.1</v>
      </c>
      <c r="V26" s="2108">
        <f t="shared" si="12"/>
        <v>0.1</v>
      </c>
      <c r="W26" s="2108">
        <f t="shared" si="13"/>
        <v>0.1</v>
      </c>
      <c r="X26" s="2108">
        <f t="shared" si="14"/>
        <v>0.1</v>
      </c>
      <c r="Y26" s="2108">
        <f t="shared" si="15"/>
        <v>0.2</v>
      </c>
      <c r="Z26" s="2126">
        <f t="shared" si="16"/>
        <v>0.1</v>
      </c>
      <c r="AA26" s="2108">
        <f t="shared" si="21"/>
        <v>0.1</v>
      </c>
      <c r="AB26" s="2108">
        <f t="shared" si="17"/>
        <v>0.1</v>
      </c>
      <c r="AC26" s="2109">
        <f t="shared" si="18"/>
        <v>0.2</v>
      </c>
      <c r="AD26" s="2108">
        <f t="shared" si="19"/>
        <v>0.2</v>
      </c>
      <c r="AE26" s="2108">
        <f t="shared" si="20"/>
        <v>0</v>
      </c>
      <c r="AG26" s="2106" t="s">
        <v>2774</v>
      </c>
      <c r="AH26" s="2110" t="s">
        <v>566</v>
      </c>
      <c r="AI26" s="2111" t="s">
        <v>2775</v>
      </c>
      <c r="AJ26" s="2118">
        <v>0.1</v>
      </c>
      <c r="AK26" s="2118">
        <v>0.1</v>
      </c>
      <c r="AL26" s="2118">
        <v>0.1</v>
      </c>
      <c r="AM26" s="2118">
        <v>0.1</v>
      </c>
      <c r="AN26" s="2118">
        <v>0.1</v>
      </c>
      <c r="AO26" s="2118">
        <v>0.1</v>
      </c>
      <c r="AP26" s="2118">
        <v>0.2</v>
      </c>
      <c r="AQ26" s="2128">
        <v>0.1</v>
      </c>
      <c r="AR26" s="2118">
        <v>0.1</v>
      </c>
      <c r="AS26" s="2113">
        <v>0.1</v>
      </c>
      <c r="AT26" s="2114">
        <v>0.3</v>
      </c>
      <c r="AU26" s="2113">
        <v>0.3</v>
      </c>
      <c r="AV26" s="2113"/>
      <c r="AX26" s="2106" t="s">
        <v>2774</v>
      </c>
      <c r="AY26" s="2110" t="s">
        <v>566</v>
      </c>
      <c r="AZ26" s="2111" t="s">
        <v>2775</v>
      </c>
      <c r="BA26" s="2113"/>
      <c r="BB26" s="2113"/>
      <c r="BC26" s="2113"/>
      <c r="BD26" s="2113"/>
      <c r="BE26" s="2113"/>
      <c r="BF26" s="2113"/>
      <c r="BG26" s="2113"/>
      <c r="BH26" s="2115"/>
      <c r="BI26" s="2113"/>
      <c r="BJ26" s="2113"/>
      <c r="BK26" s="2114"/>
      <c r="BL26" s="2113"/>
      <c r="BM26" s="2113"/>
      <c r="BO26" s="2106" t="s">
        <v>2774</v>
      </c>
      <c r="BP26" s="2110" t="s">
        <v>566</v>
      </c>
      <c r="BQ26" s="2111" t="s">
        <v>2775</v>
      </c>
      <c r="BR26" s="2113">
        <v>0.1</v>
      </c>
      <c r="BS26" s="2113">
        <v>0.1</v>
      </c>
      <c r="BT26" s="2113">
        <v>0.1</v>
      </c>
      <c r="BU26" s="2113">
        <v>0.1</v>
      </c>
      <c r="BV26" s="2113">
        <v>0.1</v>
      </c>
      <c r="BW26" s="2113">
        <v>0.1</v>
      </c>
      <c r="BX26" s="2113">
        <v>0.2</v>
      </c>
      <c r="BY26" s="2115">
        <v>0.1</v>
      </c>
      <c r="BZ26" s="2113">
        <v>0.1</v>
      </c>
      <c r="CA26" s="2113">
        <v>0.1</v>
      </c>
      <c r="CB26" s="2114">
        <v>0.2</v>
      </c>
      <c r="CC26" s="2113">
        <v>0.2</v>
      </c>
      <c r="CD26" s="2113"/>
      <c r="CE26" s="2554"/>
    </row>
    <row r="27" spans="1:84" hidden="1">
      <c r="B27" s="2080" t="str">
        <f t="shared" si="0"/>
        <v>2.1.6</v>
      </c>
      <c r="C27" s="2103" t="str">
        <f t="shared" si="1"/>
        <v>個別制御</v>
      </c>
      <c r="D27" s="2093">
        <f t="shared" si="23"/>
        <v>0</v>
      </c>
      <c r="E27" s="2105">
        <f t="shared" si="23"/>
        <v>0</v>
      </c>
      <c r="G27" s="2105">
        <f t="shared" si="2"/>
        <v>0</v>
      </c>
      <c r="H27" s="2105">
        <f t="shared" si="3"/>
        <v>0</v>
      </c>
      <c r="I27" s="2105"/>
      <c r="J27" s="2105"/>
      <c r="K27" s="2105">
        <f>IF(スコア!M27=0,0,1)</f>
        <v>0</v>
      </c>
      <c r="L27" s="2105">
        <f>IF(スコア!O27=0,0,1)</f>
        <v>0</v>
      </c>
      <c r="M27" s="2105">
        <f t="shared" si="4"/>
        <v>0</v>
      </c>
      <c r="N27" s="2105">
        <f t="shared" si="5"/>
        <v>0</v>
      </c>
      <c r="P27" s="2106" t="str">
        <f t="shared" si="6"/>
        <v>2.1.6</v>
      </c>
      <c r="Q27" s="2106" t="str">
        <f t="shared" si="7"/>
        <v xml:space="preserve"> Q1 2.1</v>
      </c>
      <c r="R27" s="2107" t="str">
        <f t="shared" si="8"/>
        <v>個別制御</v>
      </c>
      <c r="S27" s="2108">
        <f t="shared" si="9"/>
        <v>0</v>
      </c>
      <c r="T27" s="2108">
        <f t="shared" si="10"/>
        <v>0</v>
      </c>
      <c r="U27" s="2108">
        <f t="shared" si="11"/>
        <v>0</v>
      </c>
      <c r="V27" s="2108">
        <f t="shared" si="12"/>
        <v>0</v>
      </c>
      <c r="W27" s="2108">
        <f t="shared" si="13"/>
        <v>0</v>
      </c>
      <c r="X27" s="2108">
        <f t="shared" si="14"/>
        <v>0</v>
      </c>
      <c r="Y27" s="2108">
        <f t="shared" si="15"/>
        <v>0</v>
      </c>
      <c r="Z27" s="2126">
        <f t="shared" si="16"/>
        <v>0</v>
      </c>
      <c r="AA27" s="2108">
        <f t="shared" si="21"/>
        <v>0</v>
      </c>
      <c r="AB27" s="2108">
        <f t="shared" si="17"/>
        <v>0</v>
      </c>
      <c r="AC27" s="2109">
        <f t="shared" si="18"/>
        <v>0.1</v>
      </c>
      <c r="AD27" s="2108">
        <f t="shared" si="19"/>
        <v>0.1</v>
      </c>
      <c r="AE27" s="2108">
        <f t="shared" si="20"/>
        <v>0.2</v>
      </c>
      <c r="AG27" s="2106" t="s">
        <v>2776</v>
      </c>
      <c r="AH27" s="2110" t="s">
        <v>566</v>
      </c>
      <c r="AI27" s="2111" t="s">
        <v>2777</v>
      </c>
      <c r="AJ27" s="2118"/>
      <c r="AK27" s="2118"/>
      <c r="AL27" s="2118"/>
      <c r="AM27" s="2118"/>
      <c r="AN27" s="2118"/>
      <c r="AO27" s="2118"/>
      <c r="AP27" s="2118"/>
      <c r="AQ27" s="2128"/>
      <c r="AR27" s="2118"/>
      <c r="AS27" s="2113">
        <v>0</v>
      </c>
      <c r="AT27" s="2114">
        <v>0.2</v>
      </c>
      <c r="AU27" s="2113">
        <v>0.2</v>
      </c>
      <c r="AV27" s="2113">
        <v>0.4</v>
      </c>
      <c r="AX27" s="2106" t="s">
        <v>2776</v>
      </c>
      <c r="AY27" s="2110" t="s">
        <v>566</v>
      </c>
      <c r="AZ27" s="2111" t="s">
        <v>2777</v>
      </c>
      <c r="BA27" s="2113"/>
      <c r="BB27" s="2113"/>
      <c r="BC27" s="2113"/>
      <c r="BD27" s="2113"/>
      <c r="BE27" s="2113"/>
      <c r="BF27" s="2113"/>
      <c r="BG27" s="2113"/>
      <c r="BH27" s="2115"/>
      <c r="BI27" s="2113"/>
      <c r="BJ27" s="2113"/>
      <c r="BK27" s="2114"/>
      <c r="BL27" s="2113"/>
      <c r="BM27" s="2113"/>
      <c r="BO27" s="2106" t="s">
        <v>2776</v>
      </c>
      <c r="BP27" s="2110" t="s">
        <v>566</v>
      </c>
      <c r="BQ27" s="2111" t="s">
        <v>2777</v>
      </c>
      <c r="BR27" s="2113"/>
      <c r="BS27" s="2113"/>
      <c r="BT27" s="2113"/>
      <c r="BU27" s="2113"/>
      <c r="BV27" s="2113"/>
      <c r="BW27" s="2113"/>
      <c r="BX27" s="2113"/>
      <c r="BY27" s="2115"/>
      <c r="BZ27" s="2113"/>
      <c r="CA27" s="2113"/>
      <c r="CB27" s="2114">
        <v>0.1</v>
      </c>
      <c r="CC27" s="2113">
        <v>0.1</v>
      </c>
      <c r="CD27" s="2113">
        <v>0.2</v>
      </c>
      <c r="CE27" s="2554"/>
    </row>
    <row r="28" spans="1:84" hidden="1">
      <c r="B28" s="2080" t="str">
        <f t="shared" si="0"/>
        <v>2.1.7</v>
      </c>
      <c r="C28" s="2103" t="str">
        <f t="shared" si="1"/>
        <v>時間外空調に対する配慮</v>
      </c>
      <c r="D28" s="2093">
        <f t="shared" si="23"/>
        <v>0</v>
      </c>
      <c r="E28" s="2105">
        <f t="shared" si="23"/>
        <v>0</v>
      </c>
      <c r="G28" s="2105">
        <f t="shared" si="2"/>
        <v>0</v>
      </c>
      <c r="H28" s="2105">
        <f t="shared" si="3"/>
        <v>0</v>
      </c>
      <c r="I28" s="2105"/>
      <c r="J28" s="2105"/>
      <c r="K28" s="2105">
        <f>IF(スコア!M28=0,0,1)</f>
        <v>0</v>
      </c>
      <c r="L28" s="2105">
        <f>IF(スコア!O28=0,0,1)</f>
        <v>0</v>
      </c>
      <c r="M28" s="2105">
        <f t="shared" si="4"/>
        <v>0.1</v>
      </c>
      <c r="N28" s="2105">
        <f t="shared" si="5"/>
        <v>0</v>
      </c>
      <c r="P28" s="2106" t="str">
        <f t="shared" si="6"/>
        <v>2.1.7</v>
      </c>
      <c r="Q28" s="2106" t="str">
        <f t="shared" si="7"/>
        <v xml:space="preserve"> Q1 2.1</v>
      </c>
      <c r="R28" s="2107" t="str">
        <f t="shared" si="8"/>
        <v>時間外空調に対する配慮</v>
      </c>
      <c r="S28" s="2108">
        <f t="shared" si="9"/>
        <v>0.1</v>
      </c>
      <c r="T28" s="2108">
        <f t="shared" si="10"/>
        <v>0.2</v>
      </c>
      <c r="U28" s="2108">
        <f t="shared" si="11"/>
        <v>0</v>
      </c>
      <c r="V28" s="2108">
        <f t="shared" si="12"/>
        <v>0</v>
      </c>
      <c r="W28" s="2108">
        <f t="shared" si="13"/>
        <v>0.1</v>
      </c>
      <c r="X28" s="2108">
        <f t="shared" si="14"/>
        <v>0.1</v>
      </c>
      <c r="Y28" s="2108">
        <f t="shared" si="15"/>
        <v>0</v>
      </c>
      <c r="Z28" s="2126">
        <f t="shared" si="16"/>
        <v>0</v>
      </c>
      <c r="AA28" s="2108">
        <f t="shared" si="21"/>
        <v>0.1</v>
      </c>
      <c r="AB28" s="2108">
        <f t="shared" si="17"/>
        <v>0.2</v>
      </c>
      <c r="AC28" s="2109">
        <f t="shared" si="18"/>
        <v>0</v>
      </c>
      <c r="AD28" s="2108">
        <f t="shared" si="19"/>
        <v>0</v>
      </c>
      <c r="AE28" s="2108">
        <f t="shared" si="20"/>
        <v>0</v>
      </c>
      <c r="AG28" s="2106" t="s">
        <v>2778</v>
      </c>
      <c r="AH28" s="2110" t="s">
        <v>566</v>
      </c>
      <c r="AI28" s="2111" t="s">
        <v>2779</v>
      </c>
      <c r="AJ28" s="2118">
        <v>0.1</v>
      </c>
      <c r="AK28" s="2118">
        <v>0.2</v>
      </c>
      <c r="AL28" s="2118"/>
      <c r="AM28" s="2118"/>
      <c r="AN28" s="2118">
        <v>0.1</v>
      </c>
      <c r="AO28" s="2118">
        <v>0.1</v>
      </c>
      <c r="AP28" s="2118"/>
      <c r="AQ28" s="2128"/>
      <c r="AR28" s="2118">
        <v>0.1</v>
      </c>
      <c r="AS28" s="2113">
        <v>0.2</v>
      </c>
      <c r="AT28" s="2114"/>
      <c r="AU28" s="2113"/>
      <c r="AV28" s="2113"/>
      <c r="AX28" s="2106" t="s">
        <v>2778</v>
      </c>
      <c r="AY28" s="2110" t="s">
        <v>566</v>
      </c>
      <c r="AZ28" s="2111" t="s">
        <v>2779</v>
      </c>
      <c r="BA28" s="2113"/>
      <c r="BB28" s="2113"/>
      <c r="BC28" s="2113"/>
      <c r="BD28" s="2113"/>
      <c r="BE28" s="2113"/>
      <c r="BF28" s="2113"/>
      <c r="BG28" s="2113"/>
      <c r="BH28" s="2115"/>
      <c r="BI28" s="2113"/>
      <c r="BJ28" s="2113"/>
      <c r="BK28" s="2114"/>
      <c r="BL28" s="2113"/>
      <c r="BM28" s="2113"/>
      <c r="BO28" s="2106" t="s">
        <v>2778</v>
      </c>
      <c r="BP28" s="2110" t="s">
        <v>566</v>
      </c>
      <c r="BQ28" s="2111" t="s">
        <v>2779</v>
      </c>
      <c r="BR28" s="2113">
        <v>0.1</v>
      </c>
      <c r="BS28" s="2113">
        <v>0.2</v>
      </c>
      <c r="BT28" s="2113"/>
      <c r="BU28" s="2113"/>
      <c r="BV28" s="2113">
        <v>0.1</v>
      </c>
      <c r="BW28" s="2113">
        <v>0.1</v>
      </c>
      <c r="BX28" s="2113"/>
      <c r="BY28" s="2115"/>
      <c r="BZ28" s="2113">
        <v>0.1</v>
      </c>
      <c r="CA28" s="2113">
        <v>0.2</v>
      </c>
      <c r="CB28" s="2114"/>
      <c r="CC28" s="2113"/>
      <c r="CD28" s="2113"/>
      <c r="CE28" s="2554"/>
    </row>
    <row r="29" spans="1:84" hidden="1">
      <c r="B29" s="2080" t="str">
        <f t="shared" si="0"/>
        <v>2.1.8</v>
      </c>
      <c r="C29" s="2103" t="str">
        <f t="shared" si="1"/>
        <v>監視システム</v>
      </c>
      <c r="D29" s="2093">
        <f t="shared" si="23"/>
        <v>0</v>
      </c>
      <c r="E29" s="2105">
        <f t="shared" si="23"/>
        <v>0</v>
      </c>
      <c r="G29" s="2105">
        <f t="shared" si="2"/>
        <v>0</v>
      </c>
      <c r="H29" s="2105">
        <f t="shared" si="3"/>
        <v>0</v>
      </c>
      <c r="I29" s="2105"/>
      <c r="J29" s="2105"/>
      <c r="K29" s="2105">
        <f>IF(スコア!M29=0,0,1)</f>
        <v>0</v>
      </c>
      <c r="L29" s="2105">
        <f>IF(スコア!O29=0,0,1)</f>
        <v>0</v>
      </c>
      <c r="M29" s="2105">
        <f t="shared" si="4"/>
        <v>0</v>
      </c>
      <c r="N29" s="2105">
        <f t="shared" si="5"/>
        <v>0</v>
      </c>
      <c r="P29" s="2106" t="str">
        <f t="shared" si="6"/>
        <v>2.1.8</v>
      </c>
      <c r="Q29" s="2106" t="str">
        <f t="shared" si="7"/>
        <v xml:space="preserve"> Q1 2.1</v>
      </c>
      <c r="R29" s="2107" t="str">
        <f t="shared" si="8"/>
        <v>監視システム</v>
      </c>
      <c r="S29" s="2108">
        <f t="shared" si="9"/>
        <v>0</v>
      </c>
      <c r="T29" s="2108">
        <f t="shared" si="10"/>
        <v>0</v>
      </c>
      <c r="U29" s="2108">
        <f t="shared" si="11"/>
        <v>0.1</v>
      </c>
      <c r="V29" s="2108">
        <f t="shared" si="12"/>
        <v>0.1</v>
      </c>
      <c r="W29" s="2108">
        <f t="shared" si="13"/>
        <v>0</v>
      </c>
      <c r="X29" s="2108">
        <f t="shared" si="14"/>
        <v>0</v>
      </c>
      <c r="Y29" s="2108">
        <f t="shared" si="15"/>
        <v>0</v>
      </c>
      <c r="Z29" s="2126">
        <f t="shared" si="16"/>
        <v>0</v>
      </c>
      <c r="AA29" s="2108">
        <f t="shared" si="21"/>
        <v>0</v>
      </c>
      <c r="AB29" s="2108">
        <f t="shared" si="17"/>
        <v>0</v>
      </c>
      <c r="AC29" s="2109">
        <f t="shared" si="18"/>
        <v>0</v>
      </c>
      <c r="AD29" s="2108">
        <f t="shared" si="19"/>
        <v>0</v>
      </c>
      <c r="AE29" s="2108">
        <f t="shared" si="20"/>
        <v>0</v>
      </c>
      <c r="AG29" s="2106" t="s">
        <v>2780</v>
      </c>
      <c r="AH29" s="2110" t="s">
        <v>566</v>
      </c>
      <c r="AI29" s="2111" t="s">
        <v>2781</v>
      </c>
      <c r="AJ29" s="2118"/>
      <c r="AK29" s="2118"/>
      <c r="AL29" s="2118">
        <v>0.1</v>
      </c>
      <c r="AM29" s="2118">
        <v>0.1</v>
      </c>
      <c r="AN29" s="2118"/>
      <c r="AO29" s="2118"/>
      <c r="AP29" s="2118"/>
      <c r="AQ29" s="2128"/>
      <c r="AR29" s="2118"/>
      <c r="AS29" s="2113">
        <v>0</v>
      </c>
      <c r="AT29" s="2114"/>
      <c r="AU29" s="2113"/>
      <c r="AV29" s="2113"/>
      <c r="AX29" s="2106" t="s">
        <v>2780</v>
      </c>
      <c r="AY29" s="2110" t="s">
        <v>566</v>
      </c>
      <c r="AZ29" s="2111" t="s">
        <v>2781</v>
      </c>
      <c r="BA29" s="2113"/>
      <c r="BB29" s="2113"/>
      <c r="BC29" s="2113"/>
      <c r="BD29" s="2113"/>
      <c r="BE29" s="2113"/>
      <c r="BF29" s="2113"/>
      <c r="BG29" s="2113"/>
      <c r="BH29" s="2115"/>
      <c r="BI29" s="2113"/>
      <c r="BJ29" s="2113"/>
      <c r="BK29" s="2114"/>
      <c r="BL29" s="2113"/>
      <c r="BM29" s="2113"/>
      <c r="BO29" s="2106" t="s">
        <v>2780</v>
      </c>
      <c r="BP29" s="2110" t="s">
        <v>566</v>
      </c>
      <c r="BQ29" s="2111" t="s">
        <v>2781</v>
      </c>
      <c r="BR29" s="2113"/>
      <c r="BS29" s="2113"/>
      <c r="BT29" s="2113">
        <v>0.1</v>
      </c>
      <c r="BU29" s="2113">
        <v>0.1</v>
      </c>
      <c r="BV29" s="2113"/>
      <c r="BW29" s="2113"/>
      <c r="BX29" s="2113"/>
      <c r="BY29" s="2115"/>
      <c r="BZ29" s="2113"/>
      <c r="CA29" s="2113"/>
      <c r="CB29" s="2114"/>
      <c r="CC29" s="2113"/>
      <c r="CD29" s="2113"/>
      <c r="CE29" s="2554"/>
    </row>
    <row r="30" spans="1:84">
      <c r="B30" s="2080">
        <f t="shared" si="0"/>
        <v>2.2000000000000002</v>
      </c>
      <c r="C30" s="2125" t="str">
        <f t="shared" si="1"/>
        <v>湿度制御</v>
      </c>
      <c r="D30" s="2104">
        <f>IF(I$20=0,0,G30/I$20)</f>
        <v>0.2</v>
      </c>
      <c r="E30" s="2105">
        <f>IF(J$20=0,0,H30/J$20)</f>
        <v>0</v>
      </c>
      <c r="G30" s="2105">
        <f t="shared" si="2"/>
        <v>0.2</v>
      </c>
      <c r="H30" s="2105">
        <f t="shared" si="3"/>
        <v>0</v>
      </c>
      <c r="I30" s="2105"/>
      <c r="J30" s="2105"/>
      <c r="K30" s="2105">
        <f>IF(スコア!M30=0,0,1)</f>
        <v>1</v>
      </c>
      <c r="L30" s="2105">
        <f>IF(スコア!O30=0,0,1)</f>
        <v>1</v>
      </c>
      <c r="M30" s="2105">
        <f t="shared" si="4"/>
        <v>0.2</v>
      </c>
      <c r="N30" s="2105">
        <f t="shared" si="5"/>
        <v>0</v>
      </c>
      <c r="P30" s="2106">
        <f t="shared" si="6"/>
        <v>2.2000000000000002</v>
      </c>
      <c r="Q30" s="2106" t="str">
        <f t="shared" si="7"/>
        <v xml:space="preserve"> Q1 2</v>
      </c>
      <c r="R30" s="2107" t="str">
        <f t="shared" si="8"/>
        <v>湿度制御</v>
      </c>
      <c r="S30" s="2108">
        <f t="shared" si="9"/>
        <v>0.2</v>
      </c>
      <c r="T30" s="2108">
        <f t="shared" si="10"/>
        <v>0.2</v>
      </c>
      <c r="U30" s="2108">
        <f t="shared" si="11"/>
        <v>0.2</v>
      </c>
      <c r="V30" s="2108">
        <f t="shared" si="12"/>
        <v>0.2</v>
      </c>
      <c r="W30" s="2108">
        <f t="shared" si="13"/>
        <v>0.2</v>
      </c>
      <c r="X30" s="2108">
        <f t="shared" si="14"/>
        <v>0.2</v>
      </c>
      <c r="Y30" s="2108">
        <f t="shared" si="15"/>
        <v>0.2</v>
      </c>
      <c r="Z30" s="2126">
        <f t="shared" si="16"/>
        <v>0.2</v>
      </c>
      <c r="AA30" s="2108">
        <f t="shared" si="21"/>
        <v>0.2</v>
      </c>
      <c r="AB30" s="2108">
        <f t="shared" si="17"/>
        <v>0.2</v>
      </c>
      <c r="AC30" s="2109">
        <f t="shared" si="18"/>
        <v>0.2</v>
      </c>
      <c r="AD30" s="2108">
        <f t="shared" si="19"/>
        <v>0.2</v>
      </c>
      <c r="AE30" s="2108">
        <f t="shared" si="20"/>
        <v>0.2</v>
      </c>
      <c r="AG30" s="2106">
        <v>2.2000000000000002</v>
      </c>
      <c r="AH30" s="2110" t="s">
        <v>1047</v>
      </c>
      <c r="AI30" s="2107" t="s">
        <v>290</v>
      </c>
      <c r="AJ30" s="2108">
        <v>0.2</v>
      </c>
      <c r="AK30" s="2108">
        <v>0.2</v>
      </c>
      <c r="AL30" s="2108">
        <v>0.2</v>
      </c>
      <c r="AM30" s="2108">
        <v>0.2</v>
      </c>
      <c r="AN30" s="2108">
        <v>0.2</v>
      </c>
      <c r="AO30" s="2108">
        <v>0.2</v>
      </c>
      <c r="AP30" s="2108">
        <v>0.2</v>
      </c>
      <c r="AQ30" s="2126">
        <v>0.2</v>
      </c>
      <c r="AR30" s="2108">
        <v>0.2</v>
      </c>
      <c r="AS30" s="2113">
        <v>0.2</v>
      </c>
      <c r="AT30" s="2114"/>
      <c r="AU30" s="2113"/>
      <c r="AV30" s="2113"/>
      <c r="AX30" s="2106">
        <v>2.2000000000000002</v>
      </c>
      <c r="AY30" s="2110" t="s">
        <v>1047</v>
      </c>
      <c r="AZ30" s="2107" t="s">
        <v>290</v>
      </c>
      <c r="BA30" s="2113">
        <v>0.2</v>
      </c>
      <c r="BB30" s="2113">
        <v>0.2</v>
      </c>
      <c r="BC30" s="2113">
        <v>0.2</v>
      </c>
      <c r="BD30" s="2113">
        <v>0.2</v>
      </c>
      <c r="BE30" s="2113">
        <v>0.2</v>
      </c>
      <c r="BF30" s="2113">
        <v>0.2</v>
      </c>
      <c r="BG30" s="2113">
        <v>0.2</v>
      </c>
      <c r="BH30" s="2115">
        <v>0.2</v>
      </c>
      <c r="BI30" s="2113">
        <v>0.2</v>
      </c>
      <c r="BJ30" s="2113">
        <v>0.2</v>
      </c>
      <c r="BK30" s="2114">
        <v>0.2</v>
      </c>
      <c r="BL30" s="2113">
        <v>0.2</v>
      </c>
      <c r="BM30" s="2113">
        <v>0.2</v>
      </c>
      <c r="BO30" s="2106">
        <v>2.2000000000000002</v>
      </c>
      <c r="BP30" s="2110" t="s">
        <v>1047</v>
      </c>
      <c r="BQ30" s="2107" t="s">
        <v>290</v>
      </c>
      <c r="BR30" s="2113">
        <v>0.2</v>
      </c>
      <c r="BS30" s="2113">
        <v>0.2</v>
      </c>
      <c r="BT30" s="2113">
        <v>0.2</v>
      </c>
      <c r="BU30" s="2113">
        <v>0.2</v>
      </c>
      <c r="BV30" s="2113">
        <v>0.2</v>
      </c>
      <c r="BW30" s="2113">
        <v>0.2</v>
      </c>
      <c r="BX30" s="2113">
        <v>0.2</v>
      </c>
      <c r="BY30" s="2115">
        <v>0.2</v>
      </c>
      <c r="BZ30" s="2113">
        <v>0.2</v>
      </c>
      <c r="CA30" s="2113">
        <v>0.2</v>
      </c>
      <c r="CB30" s="2114">
        <v>0.2</v>
      </c>
      <c r="CC30" s="2113">
        <v>0.2</v>
      </c>
      <c r="CD30" s="2113">
        <v>0.2</v>
      </c>
      <c r="CE30" s="2554"/>
    </row>
    <row r="31" spans="1:84">
      <c r="B31" s="2080">
        <f t="shared" si="0"/>
        <v>2.2999999999999998</v>
      </c>
      <c r="C31" s="2125" t="str">
        <f t="shared" si="1"/>
        <v>空調方式</v>
      </c>
      <c r="D31" s="2104">
        <f>IF(I$20=0,0,G31/I$20)</f>
        <v>0.3</v>
      </c>
      <c r="E31" s="2105">
        <f>IF(J$20=0,0,H31/J$20)</f>
        <v>0</v>
      </c>
      <c r="G31" s="2105">
        <f t="shared" si="2"/>
        <v>0.3</v>
      </c>
      <c r="H31" s="2105">
        <f t="shared" si="3"/>
        <v>0</v>
      </c>
      <c r="I31" s="2105">
        <f>SUM(G32:G33)</f>
        <v>0</v>
      </c>
      <c r="J31" s="2105">
        <f>SUM(H32:H33)</f>
        <v>0</v>
      </c>
      <c r="K31" s="2105">
        <f>IF(スコア!M31=0,0,1)</f>
        <v>1</v>
      </c>
      <c r="L31" s="2105">
        <f>IF(スコア!O31=0,0,1)</f>
        <v>1</v>
      </c>
      <c r="M31" s="2105">
        <f t="shared" si="4"/>
        <v>0.3</v>
      </c>
      <c r="N31" s="2105">
        <f t="shared" si="5"/>
        <v>0</v>
      </c>
      <c r="P31" s="2106">
        <f t="shared" si="6"/>
        <v>2.2999999999999998</v>
      </c>
      <c r="Q31" s="2106" t="str">
        <f t="shared" si="7"/>
        <v xml:space="preserve"> Q1 2</v>
      </c>
      <c r="R31" s="2107" t="str">
        <f t="shared" si="8"/>
        <v>空調方式</v>
      </c>
      <c r="S31" s="2108">
        <f t="shared" si="9"/>
        <v>0.3</v>
      </c>
      <c r="T31" s="2108">
        <f t="shared" si="10"/>
        <v>0.3</v>
      </c>
      <c r="U31" s="2108">
        <f t="shared" si="11"/>
        <v>0.3</v>
      </c>
      <c r="V31" s="2108">
        <f t="shared" si="12"/>
        <v>0.3</v>
      </c>
      <c r="W31" s="2108">
        <f t="shared" si="13"/>
        <v>0.3</v>
      </c>
      <c r="X31" s="2108">
        <f t="shared" si="14"/>
        <v>0.3</v>
      </c>
      <c r="Y31" s="2108">
        <f t="shared" si="15"/>
        <v>0.3</v>
      </c>
      <c r="Z31" s="2126">
        <f t="shared" si="16"/>
        <v>0.3</v>
      </c>
      <c r="AA31" s="2108">
        <f t="shared" si="21"/>
        <v>0.3</v>
      </c>
      <c r="AB31" s="2108">
        <f t="shared" si="17"/>
        <v>0.3</v>
      </c>
      <c r="AC31" s="2109">
        <f t="shared" si="18"/>
        <v>0.3</v>
      </c>
      <c r="AD31" s="2108">
        <f t="shared" si="19"/>
        <v>0.3</v>
      </c>
      <c r="AE31" s="2108">
        <f t="shared" si="20"/>
        <v>0.3</v>
      </c>
      <c r="AG31" s="2106">
        <v>2.2999999999999998</v>
      </c>
      <c r="AH31" s="2110" t="s">
        <v>1047</v>
      </c>
      <c r="AI31" s="2107" t="s">
        <v>291</v>
      </c>
      <c r="AJ31" s="2108">
        <v>0.3</v>
      </c>
      <c r="AK31" s="2108">
        <v>0.3</v>
      </c>
      <c r="AL31" s="2108">
        <v>0.3</v>
      </c>
      <c r="AM31" s="2108">
        <v>0.3</v>
      </c>
      <c r="AN31" s="2108">
        <v>0.3</v>
      </c>
      <c r="AO31" s="2108">
        <v>0.3</v>
      </c>
      <c r="AP31" s="2108">
        <v>0.3</v>
      </c>
      <c r="AQ31" s="2126">
        <v>0.3</v>
      </c>
      <c r="AR31" s="2108">
        <v>0.3</v>
      </c>
      <c r="AS31" s="2130">
        <v>0.3</v>
      </c>
      <c r="AT31" s="2114"/>
      <c r="AU31" s="2113"/>
      <c r="AV31" s="2113"/>
      <c r="AX31" s="2106">
        <v>2.2999999999999998</v>
      </c>
      <c r="AY31" s="2110" t="s">
        <v>1047</v>
      </c>
      <c r="AZ31" s="2107" t="s">
        <v>291</v>
      </c>
      <c r="BA31" s="2113">
        <v>0.3</v>
      </c>
      <c r="BB31" s="2113">
        <v>0.3</v>
      </c>
      <c r="BC31" s="2113">
        <v>0.3</v>
      </c>
      <c r="BD31" s="2113">
        <v>0.3</v>
      </c>
      <c r="BE31" s="2113">
        <v>0.3</v>
      </c>
      <c r="BF31" s="2113">
        <v>0.3</v>
      </c>
      <c r="BG31" s="2113">
        <v>0.3</v>
      </c>
      <c r="BH31" s="2115">
        <v>0.3</v>
      </c>
      <c r="BI31" s="2113">
        <v>0.3</v>
      </c>
      <c r="BJ31" s="2113">
        <v>0.3</v>
      </c>
      <c r="BK31" s="2114">
        <v>0.3</v>
      </c>
      <c r="BL31" s="2113">
        <v>0.3</v>
      </c>
      <c r="BM31" s="2113">
        <v>0.3</v>
      </c>
      <c r="BO31" s="2106">
        <v>2.2999999999999998</v>
      </c>
      <c r="BP31" s="2110" t="s">
        <v>1047</v>
      </c>
      <c r="BQ31" s="2107" t="s">
        <v>291</v>
      </c>
      <c r="BR31" s="2113">
        <v>0.3</v>
      </c>
      <c r="BS31" s="2113">
        <v>0.3</v>
      </c>
      <c r="BT31" s="2113">
        <v>0.3</v>
      </c>
      <c r="BU31" s="2113">
        <v>0.3</v>
      </c>
      <c r="BV31" s="2113">
        <v>0.3</v>
      </c>
      <c r="BW31" s="2113">
        <v>0.3</v>
      </c>
      <c r="BX31" s="2113">
        <v>0.3</v>
      </c>
      <c r="BY31" s="2115">
        <v>0.3</v>
      </c>
      <c r="BZ31" s="2113">
        <v>0.3</v>
      </c>
      <c r="CA31" s="2113">
        <v>0.3</v>
      </c>
      <c r="CB31" s="2114">
        <v>0.3</v>
      </c>
      <c r="CC31" s="2113">
        <v>0.3</v>
      </c>
      <c r="CD31" s="2113">
        <v>0.3</v>
      </c>
      <c r="CE31" s="2554"/>
    </row>
    <row r="32" spans="1:84" hidden="1">
      <c r="B32" s="2080" t="str">
        <f t="shared" si="0"/>
        <v>2.3.1</v>
      </c>
      <c r="C32" s="2131" t="str">
        <f t="shared" si="1"/>
        <v>上下温度差</v>
      </c>
      <c r="D32" s="2132">
        <f>IF(I$31&gt;0,G32/I$31,0)</f>
        <v>0</v>
      </c>
      <c r="E32" s="2133">
        <f>IF(J$31&gt;0,H32/J$31,0)</f>
        <v>0</v>
      </c>
      <c r="G32" s="2133">
        <f t="shared" si="2"/>
        <v>0</v>
      </c>
      <c r="H32" s="2133">
        <f t="shared" si="3"/>
        <v>0</v>
      </c>
      <c r="I32" s="2133"/>
      <c r="J32" s="2133"/>
      <c r="K32" s="2133">
        <f>IF(スコア!M32=0,0,1)</f>
        <v>0</v>
      </c>
      <c r="L32" s="2133">
        <f>IF(スコア!O32=0,0,1)</f>
        <v>0</v>
      </c>
      <c r="M32" s="2133">
        <f t="shared" si="4"/>
        <v>0</v>
      </c>
      <c r="N32" s="2133">
        <f t="shared" si="5"/>
        <v>0</v>
      </c>
      <c r="P32" s="2134" t="str">
        <f t="shared" si="6"/>
        <v>2.3.1</v>
      </c>
      <c r="Q32" s="2134" t="str">
        <f t="shared" si="7"/>
        <v xml:space="preserve"> Q1 2.3</v>
      </c>
      <c r="R32" s="2135" t="str">
        <f t="shared" si="8"/>
        <v>上下温度差</v>
      </c>
      <c r="S32" s="2118">
        <f t="shared" si="9"/>
        <v>0</v>
      </c>
      <c r="T32" s="2118">
        <f t="shared" si="10"/>
        <v>0</v>
      </c>
      <c r="U32" s="2118">
        <f t="shared" si="11"/>
        <v>0</v>
      </c>
      <c r="V32" s="2118">
        <f t="shared" si="12"/>
        <v>0</v>
      </c>
      <c r="W32" s="2118">
        <f t="shared" si="13"/>
        <v>0</v>
      </c>
      <c r="X32" s="2118">
        <f t="shared" si="14"/>
        <v>0</v>
      </c>
      <c r="Y32" s="2118">
        <f t="shared" si="15"/>
        <v>0</v>
      </c>
      <c r="Z32" s="2136">
        <f t="shared" si="16"/>
        <v>0</v>
      </c>
      <c r="AA32" s="2118">
        <f t="shared" si="21"/>
        <v>0</v>
      </c>
      <c r="AB32" s="2118">
        <f t="shared" si="17"/>
        <v>0</v>
      </c>
      <c r="AC32" s="2137">
        <f t="shared" si="18"/>
        <v>0</v>
      </c>
      <c r="AD32" s="2118">
        <f t="shared" si="19"/>
        <v>0</v>
      </c>
      <c r="AE32" s="2118">
        <f t="shared" si="20"/>
        <v>0</v>
      </c>
      <c r="AG32" s="2106" t="s">
        <v>282</v>
      </c>
      <c r="AH32" s="2110" t="s">
        <v>2782</v>
      </c>
      <c r="AI32" s="2107" t="s">
        <v>292</v>
      </c>
      <c r="AJ32" s="2108">
        <v>0.5</v>
      </c>
      <c r="AK32" s="2108">
        <v>0.5</v>
      </c>
      <c r="AL32" s="2108">
        <v>0.5</v>
      </c>
      <c r="AM32" s="2108">
        <v>0.5</v>
      </c>
      <c r="AN32" s="2108">
        <v>0.5</v>
      </c>
      <c r="AO32" s="2108">
        <v>0.5</v>
      </c>
      <c r="AP32" s="2108">
        <v>0.5</v>
      </c>
      <c r="AQ32" s="2126">
        <v>0.5</v>
      </c>
      <c r="AR32" s="2108">
        <v>0.5</v>
      </c>
      <c r="AS32" s="2130">
        <v>0.5</v>
      </c>
      <c r="AT32" s="2114"/>
      <c r="AU32" s="2114"/>
      <c r="AV32" s="2114"/>
      <c r="AX32" s="2134" t="s">
        <v>283</v>
      </c>
      <c r="AY32" s="2138" t="s">
        <v>2782</v>
      </c>
      <c r="AZ32" s="2139" t="s">
        <v>292</v>
      </c>
      <c r="BA32" s="2140"/>
      <c r="BB32" s="2140"/>
      <c r="BC32" s="2140"/>
      <c r="BD32" s="2140"/>
      <c r="BE32" s="2140"/>
      <c r="BF32" s="2140"/>
      <c r="BG32" s="2140"/>
      <c r="BH32" s="2141"/>
      <c r="BI32" s="2140"/>
      <c r="BJ32" s="2140"/>
      <c r="BK32" s="2142"/>
      <c r="BL32" s="2140"/>
      <c r="BM32" s="2140"/>
      <c r="BO32" s="2134" t="s">
        <v>283</v>
      </c>
      <c r="BP32" s="2138" t="s">
        <v>2782</v>
      </c>
      <c r="BQ32" s="2139" t="s">
        <v>292</v>
      </c>
      <c r="BR32" s="2143"/>
      <c r="BS32" s="2143"/>
      <c r="BT32" s="2143"/>
      <c r="BU32" s="2143"/>
      <c r="BV32" s="2143"/>
      <c r="BW32" s="2143"/>
      <c r="BX32" s="2143"/>
      <c r="BY32" s="2144"/>
      <c r="BZ32" s="2143"/>
      <c r="CA32" s="2143"/>
      <c r="CB32" s="2145"/>
      <c r="CC32" s="2143"/>
      <c r="CD32" s="2143"/>
      <c r="CE32" s="2555"/>
    </row>
    <row r="33" spans="1:84" hidden="1">
      <c r="B33" s="2080" t="str">
        <f t="shared" si="0"/>
        <v>2.3.2</v>
      </c>
      <c r="C33" s="2131" t="str">
        <f t="shared" si="1"/>
        <v>平均気流速度</v>
      </c>
      <c r="D33" s="2132">
        <f>IF(I$31&gt;0,G33/I$31,0)</f>
        <v>0</v>
      </c>
      <c r="E33" s="2133">
        <f>IF(J$31&gt;0,H33/J$31,0)</f>
        <v>0</v>
      </c>
      <c r="G33" s="2133">
        <f t="shared" si="2"/>
        <v>0</v>
      </c>
      <c r="H33" s="2133">
        <f t="shared" si="3"/>
        <v>0</v>
      </c>
      <c r="I33" s="2133"/>
      <c r="J33" s="2133"/>
      <c r="K33" s="2133">
        <f>IF(スコア!M33=0,0,1)</f>
        <v>0</v>
      </c>
      <c r="L33" s="2133">
        <f>IF(スコア!O33=0,0,1)</f>
        <v>0</v>
      </c>
      <c r="M33" s="2133">
        <f t="shared" si="4"/>
        <v>0</v>
      </c>
      <c r="N33" s="2133">
        <f t="shared" si="5"/>
        <v>0</v>
      </c>
      <c r="P33" s="2134" t="str">
        <f t="shared" si="6"/>
        <v>2.3.2</v>
      </c>
      <c r="Q33" s="2134" t="str">
        <f t="shared" si="7"/>
        <v xml:space="preserve"> Q1 2.3</v>
      </c>
      <c r="R33" s="2135" t="str">
        <f t="shared" si="8"/>
        <v>平均気流速度</v>
      </c>
      <c r="S33" s="2118">
        <f t="shared" si="9"/>
        <v>0</v>
      </c>
      <c r="T33" s="2118">
        <f t="shared" si="10"/>
        <v>0</v>
      </c>
      <c r="U33" s="2118">
        <f t="shared" si="11"/>
        <v>0</v>
      </c>
      <c r="V33" s="2118">
        <f t="shared" si="12"/>
        <v>0</v>
      </c>
      <c r="W33" s="2118">
        <f t="shared" si="13"/>
        <v>0</v>
      </c>
      <c r="X33" s="2118">
        <f t="shared" si="14"/>
        <v>0</v>
      </c>
      <c r="Y33" s="2118">
        <f t="shared" si="15"/>
        <v>0</v>
      </c>
      <c r="Z33" s="2136">
        <f t="shared" si="16"/>
        <v>0</v>
      </c>
      <c r="AA33" s="2118">
        <f t="shared" si="21"/>
        <v>0</v>
      </c>
      <c r="AB33" s="2118">
        <f t="shared" si="17"/>
        <v>0</v>
      </c>
      <c r="AC33" s="2137">
        <f t="shared" si="18"/>
        <v>0</v>
      </c>
      <c r="AD33" s="2118">
        <f t="shared" si="19"/>
        <v>0</v>
      </c>
      <c r="AE33" s="2118">
        <f t="shared" si="20"/>
        <v>0</v>
      </c>
      <c r="AG33" s="2106" t="s">
        <v>284</v>
      </c>
      <c r="AH33" s="2110" t="s">
        <v>2782</v>
      </c>
      <c r="AI33" s="2107" t="s">
        <v>1969</v>
      </c>
      <c r="AJ33" s="2108">
        <v>0.5</v>
      </c>
      <c r="AK33" s="2108">
        <v>0.5</v>
      </c>
      <c r="AL33" s="2108">
        <v>0.5</v>
      </c>
      <c r="AM33" s="2108">
        <v>0.5</v>
      </c>
      <c r="AN33" s="2108">
        <v>0.5</v>
      </c>
      <c r="AO33" s="2108">
        <v>0.5</v>
      </c>
      <c r="AP33" s="2108">
        <v>0.5</v>
      </c>
      <c r="AQ33" s="2108">
        <v>0.5</v>
      </c>
      <c r="AR33" s="2108">
        <v>0.5</v>
      </c>
      <c r="AS33" s="2130">
        <v>0.5</v>
      </c>
      <c r="AT33" s="2114"/>
      <c r="AU33" s="2114"/>
      <c r="AV33" s="2114"/>
      <c r="AX33" s="2134" t="s">
        <v>285</v>
      </c>
      <c r="AY33" s="2138" t="s">
        <v>2782</v>
      </c>
      <c r="AZ33" s="2139" t="s">
        <v>1969</v>
      </c>
      <c r="BA33" s="2140"/>
      <c r="BB33" s="2140"/>
      <c r="BC33" s="2140"/>
      <c r="BD33" s="2140"/>
      <c r="BE33" s="2140"/>
      <c r="BF33" s="2140"/>
      <c r="BG33" s="2140"/>
      <c r="BH33" s="2141"/>
      <c r="BI33" s="2140"/>
      <c r="BJ33" s="2140"/>
      <c r="BK33" s="2142"/>
      <c r="BL33" s="2140"/>
      <c r="BM33" s="2140"/>
      <c r="BO33" s="2134" t="s">
        <v>285</v>
      </c>
      <c r="BP33" s="2138" t="s">
        <v>2782</v>
      </c>
      <c r="BQ33" s="2139" t="s">
        <v>1969</v>
      </c>
      <c r="BR33" s="2143"/>
      <c r="BS33" s="2143"/>
      <c r="BT33" s="2143"/>
      <c r="BU33" s="2143"/>
      <c r="BV33" s="2143"/>
      <c r="BW33" s="2143"/>
      <c r="BX33" s="2143"/>
      <c r="BY33" s="2144"/>
      <c r="BZ33" s="2143"/>
      <c r="CA33" s="2143"/>
      <c r="CB33" s="2145"/>
      <c r="CC33" s="2143"/>
      <c r="CD33" s="2143"/>
      <c r="CE33" s="2555"/>
    </row>
    <row r="34" spans="1:84" s="1485" customFormat="1">
      <c r="A34"/>
      <c r="B34" s="2080">
        <f t="shared" si="0"/>
        <v>3</v>
      </c>
      <c r="C34" s="2090" t="str">
        <f t="shared" si="1"/>
        <v>光・視環境</v>
      </c>
      <c r="D34" s="2091">
        <f>IF(I$9=0,0,G34/I$9)</f>
        <v>0.25</v>
      </c>
      <c r="E34" s="2092">
        <f>IF(J$9=0,0,H34/J$9)</f>
        <v>0</v>
      </c>
      <c r="F34"/>
      <c r="G34" s="2092">
        <f t="shared" si="2"/>
        <v>0.25</v>
      </c>
      <c r="H34" s="2092">
        <f t="shared" si="3"/>
        <v>0</v>
      </c>
      <c r="I34" s="2092">
        <f>G35+G39+G43+G46</f>
        <v>1</v>
      </c>
      <c r="J34" s="2092">
        <f>H35+H39+H43+H46</f>
        <v>0</v>
      </c>
      <c r="K34" s="2092">
        <f>IF(スコア!M34=0,0,1)</f>
        <v>1</v>
      </c>
      <c r="L34" s="2092">
        <f>IF(スコア!O34=0,0,1)</f>
        <v>0</v>
      </c>
      <c r="M34" s="2092">
        <f t="shared" si="4"/>
        <v>0.25</v>
      </c>
      <c r="N34" s="2092">
        <f t="shared" si="5"/>
        <v>0</v>
      </c>
      <c r="O34"/>
      <c r="P34" s="2094">
        <f t="shared" si="6"/>
        <v>3</v>
      </c>
      <c r="Q34" s="2094" t="str">
        <f t="shared" si="7"/>
        <v xml:space="preserve"> Q1</v>
      </c>
      <c r="R34" s="2095" t="str">
        <f t="shared" si="8"/>
        <v>光・視環境</v>
      </c>
      <c r="S34" s="2096">
        <f t="shared" si="9"/>
        <v>0.25</v>
      </c>
      <c r="T34" s="2096">
        <f t="shared" si="10"/>
        <v>0.25</v>
      </c>
      <c r="U34" s="2096">
        <f t="shared" si="11"/>
        <v>0.25</v>
      </c>
      <c r="V34" s="2096">
        <f t="shared" si="12"/>
        <v>0.25</v>
      </c>
      <c r="W34" s="2096">
        <f t="shared" si="13"/>
        <v>0.25</v>
      </c>
      <c r="X34" s="2096">
        <f t="shared" si="14"/>
        <v>0.25</v>
      </c>
      <c r="Y34" s="2096">
        <f t="shared" si="15"/>
        <v>0.25</v>
      </c>
      <c r="Z34" s="2122">
        <f t="shared" si="16"/>
        <v>0</v>
      </c>
      <c r="AA34" s="2096">
        <f t="shared" si="21"/>
        <v>0.25</v>
      </c>
      <c r="AB34" s="2096">
        <f t="shared" si="17"/>
        <v>0.25</v>
      </c>
      <c r="AC34" s="2098">
        <f t="shared" si="18"/>
        <v>0</v>
      </c>
      <c r="AD34" s="2096">
        <f t="shared" si="19"/>
        <v>0</v>
      </c>
      <c r="AE34" s="2096">
        <f t="shared" si="20"/>
        <v>0</v>
      </c>
      <c r="AF34"/>
      <c r="AG34" s="2094">
        <v>3</v>
      </c>
      <c r="AH34" s="2099" t="s">
        <v>1039</v>
      </c>
      <c r="AI34" s="2095" t="s">
        <v>1034</v>
      </c>
      <c r="AJ34" s="2096">
        <v>0.25</v>
      </c>
      <c r="AK34" s="2096">
        <v>0.25</v>
      </c>
      <c r="AL34" s="2096">
        <v>0.25</v>
      </c>
      <c r="AM34" s="2096">
        <v>0.25</v>
      </c>
      <c r="AN34" s="2096">
        <v>0.25</v>
      </c>
      <c r="AO34" s="2096">
        <v>0.25</v>
      </c>
      <c r="AP34" s="2096">
        <v>0.25</v>
      </c>
      <c r="AQ34" s="2122">
        <v>0</v>
      </c>
      <c r="AR34" s="2096">
        <v>0.25</v>
      </c>
      <c r="AS34" s="2100">
        <v>0.25</v>
      </c>
      <c r="AT34" s="2101"/>
      <c r="AU34" s="2100"/>
      <c r="AV34" s="2100"/>
      <c r="AW34"/>
      <c r="AX34" s="2094">
        <v>3</v>
      </c>
      <c r="AY34" s="2099" t="s">
        <v>1039</v>
      </c>
      <c r="AZ34" s="2095" t="s">
        <v>1034</v>
      </c>
      <c r="BA34" s="2100">
        <v>0.25</v>
      </c>
      <c r="BB34" s="2100">
        <v>0.25</v>
      </c>
      <c r="BC34" s="2100">
        <v>0.25</v>
      </c>
      <c r="BD34" s="2100">
        <v>0.25</v>
      </c>
      <c r="BE34" s="2100">
        <v>0.25</v>
      </c>
      <c r="BF34" s="2100">
        <v>0.25</v>
      </c>
      <c r="BG34" s="2100">
        <v>0.25</v>
      </c>
      <c r="BH34" s="2124"/>
      <c r="BI34" s="2100">
        <v>0.25</v>
      </c>
      <c r="BJ34" s="2100">
        <v>0.25</v>
      </c>
      <c r="BK34" s="2101"/>
      <c r="BL34" s="2100"/>
      <c r="BM34" s="2100"/>
      <c r="BN34"/>
      <c r="BO34" s="2094">
        <v>3</v>
      </c>
      <c r="BP34" s="2099" t="s">
        <v>1039</v>
      </c>
      <c r="BQ34" s="2095" t="s">
        <v>1034</v>
      </c>
      <c r="BR34" s="2100">
        <v>0.25</v>
      </c>
      <c r="BS34" s="2100">
        <v>0.25</v>
      </c>
      <c r="BT34" s="2100">
        <v>0.25</v>
      </c>
      <c r="BU34" s="2100">
        <v>0.25</v>
      </c>
      <c r="BV34" s="2100">
        <v>0.25</v>
      </c>
      <c r="BW34" s="2100">
        <v>0.25</v>
      </c>
      <c r="BX34" s="2100">
        <v>0.25</v>
      </c>
      <c r="BY34" s="2124">
        <v>0</v>
      </c>
      <c r="BZ34" s="2100">
        <v>0.25</v>
      </c>
      <c r="CA34" s="2100">
        <v>0.25</v>
      </c>
      <c r="CB34" s="2101"/>
      <c r="CC34" s="2100"/>
      <c r="CD34" s="2100"/>
      <c r="CE34" s="2553"/>
      <c r="CF34"/>
    </row>
    <row r="35" spans="1:84">
      <c r="B35" s="2080">
        <f t="shared" si="0"/>
        <v>3.1</v>
      </c>
      <c r="C35" s="2125" t="str">
        <f t="shared" si="1"/>
        <v>昼光利用</v>
      </c>
      <c r="D35" s="2104">
        <f>IF(I$34=0,0,G35/I$34)</f>
        <v>0.3</v>
      </c>
      <c r="E35" s="2105">
        <f>IF(J$34=0,0,H35/J$34)</f>
        <v>0</v>
      </c>
      <c r="G35" s="2105">
        <f t="shared" si="2"/>
        <v>0.3</v>
      </c>
      <c r="H35" s="2105">
        <f t="shared" si="3"/>
        <v>0</v>
      </c>
      <c r="I35" s="2105">
        <f>SUM(G36:G38)</f>
        <v>1</v>
      </c>
      <c r="J35" s="2105">
        <f>SUM(H36:H38)</f>
        <v>0</v>
      </c>
      <c r="K35" s="2105">
        <f>IF(スコア!M35=0,0,1)</f>
        <v>1</v>
      </c>
      <c r="L35" s="2105">
        <f>IF(スコア!O35=0,0,1)</f>
        <v>0</v>
      </c>
      <c r="M35" s="2105">
        <f t="shared" si="4"/>
        <v>0.3</v>
      </c>
      <c r="N35" s="2105">
        <f t="shared" si="5"/>
        <v>0</v>
      </c>
      <c r="P35" s="2106">
        <f t="shared" si="6"/>
        <v>3.1</v>
      </c>
      <c r="Q35" s="2106" t="str">
        <f t="shared" si="7"/>
        <v xml:space="preserve"> Q1 3</v>
      </c>
      <c r="R35" s="2107" t="str">
        <f t="shared" si="8"/>
        <v>昼光利用</v>
      </c>
      <c r="S35" s="2108">
        <f t="shared" si="9"/>
        <v>0.3</v>
      </c>
      <c r="T35" s="2108">
        <f t="shared" si="10"/>
        <v>0.3</v>
      </c>
      <c r="U35" s="2108">
        <f t="shared" si="11"/>
        <v>0.5</v>
      </c>
      <c r="V35" s="2108">
        <f t="shared" si="12"/>
        <v>1</v>
      </c>
      <c r="W35" s="2108">
        <f t="shared" si="13"/>
        <v>0.3</v>
      </c>
      <c r="X35" s="2108">
        <f t="shared" si="14"/>
        <v>0.3</v>
      </c>
      <c r="Y35" s="2108">
        <f t="shared" si="15"/>
        <v>0.3</v>
      </c>
      <c r="Z35" s="2126">
        <f t="shared" si="16"/>
        <v>0</v>
      </c>
      <c r="AA35" s="2108">
        <f t="shared" si="21"/>
        <v>0.3</v>
      </c>
      <c r="AB35" s="2108">
        <f t="shared" si="17"/>
        <v>0.3</v>
      </c>
      <c r="AC35" s="2109">
        <f t="shared" si="18"/>
        <v>0.3</v>
      </c>
      <c r="AD35" s="2108">
        <f t="shared" si="19"/>
        <v>0.3</v>
      </c>
      <c r="AE35" s="2108">
        <f t="shared" si="20"/>
        <v>0.3</v>
      </c>
      <c r="AG35" s="2106">
        <v>3.1</v>
      </c>
      <c r="AH35" s="2110" t="s">
        <v>2783</v>
      </c>
      <c r="AI35" s="2107" t="s">
        <v>1971</v>
      </c>
      <c r="AJ35" s="2108">
        <v>0.3</v>
      </c>
      <c r="AK35" s="2108">
        <v>0.3</v>
      </c>
      <c r="AL35" s="2108">
        <v>0.5</v>
      </c>
      <c r="AM35" s="2108">
        <v>1</v>
      </c>
      <c r="AN35" s="2108">
        <v>0.3</v>
      </c>
      <c r="AO35" s="2108">
        <v>0.3</v>
      </c>
      <c r="AP35" s="2108">
        <v>0.3</v>
      </c>
      <c r="AQ35" s="2126"/>
      <c r="AR35" s="2108">
        <v>0.3</v>
      </c>
      <c r="AS35" s="2113">
        <v>0.3</v>
      </c>
      <c r="AT35" s="2114">
        <v>0.3</v>
      </c>
      <c r="AU35" s="2113">
        <v>0.3</v>
      </c>
      <c r="AV35" s="2113">
        <v>0.3</v>
      </c>
      <c r="AX35" s="2106">
        <v>3.1</v>
      </c>
      <c r="AY35" s="2110" t="s">
        <v>2783</v>
      </c>
      <c r="AZ35" s="2107" t="s">
        <v>1971</v>
      </c>
      <c r="BA35" s="2113">
        <v>0.3</v>
      </c>
      <c r="BB35" s="2113">
        <v>0.3</v>
      </c>
      <c r="BC35" s="2113">
        <v>0.5</v>
      </c>
      <c r="BD35" s="2113">
        <v>1</v>
      </c>
      <c r="BE35" s="2113">
        <v>0.3</v>
      </c>
      <c r="BF35" s="2113">
        <v>0.3</v>
      </c>
      <c r="BG35" s="2113">
        <v>0.3</v>
      </c>
      <c r="BH35" s="2115"/>
      <c r="BI35" s="2113">
        <v>0.3</v>
      </c>
      <c r="BJ35" s="2113">
        <v>0.3</v>
      </c>
      <c r="BK35" s="2114">
        <v>0.3</v>
      </c>
      <c r="BL35" s="2113">
        <v>0.3</v>
      </c>
      <c r="BM35" s="2113">
        <v>0.3</v>
      </c>
      <c r="BO35" s="2106">
        <v>3.1</v>
      </c>
      <c r="BP35" s="2110" t="s">
        <v>2783</v>
      </c>
      <c r="BQ35" s="2107" t="s">
        <v>1971</v>
      </c>
      <c r="BR35" s="2113">
        <v>0.3</v>
      </c>
      <c r="BS35" s="2113">
        <v>0.3</v>
      </c>
      <c r="BT35" s="2113">
        <v>0.5</v>
      </c>
      <c r="BU35" s="2113">
        <v>1</v>
      </c>
      <c r="BV35" s="2113">
        <v>0.3</v>
      </c>
      <c r="BW35" s="2113">
        <v>0.3</v>
      </c>
      <c r="BX35" s="2113">
        <v>0.3</v>
      </c>
      <c r="BY35" s="2115"/>
      <c r="BZ35" s="2113">
        <v>0.3</v>
      </c>
      <c r="CA35" s="2113">
        <v>0.3</v>
      </c>
      <c r="CB35" s="2114">
        <v>0.3</v>
      </c>
      <c r="CC35" s="2113">
        <v>0.3</v>
      </c>
      <c r="CD35" s="2113">
        <v>0.3</v>
      </c>
      <c r="CE35" s="2554"/>
    </row>
    <row r="36" spans="1:84">
      <c r="B36" s="2080" t="str">
        <f t="shared" si="0"/>
        <v>3.1.1</v>
      </c>
      <c r="C36" s="2103" t="str">
        <f t="shared" si="1"/>
        <v>昼光率</v>
      </c>
      <c r="D36" s="2093">
        <f t="shared" ref="D36:E38" si="24">IF(I$35&gt;0,G36/I$35,0)</f>
        <v>0.6</v>
      </c>
      <c r="E36" s="2105">
        <f t="shared" si="24"/>
        <v>0</v>
      </c>
      <c r="G36" s="2105">
        <f t="shared" si="2"/>
        <v>0.6</v>
      </c>
      <c r="H36" s="2105">
        <f t="shared" si="3"/>
        <v>0</v>
      </c>
      <c r="I36" s="2105"/>
      <c r="J36" s="2105"/>
      <c r="K36" s="2105">
        <f>IF(スコア!M36=0,0,1)</f>
        <v>1</v>
      </c>
      <c r="L36" s="2105">
        <f>IF(スコア!O36=0,0,1)</f>
        <v>1</v>
      </c>
      <c r="M36" s="2105">
        <f t="shared" si="4"/>
        <v>0.6</v>
      </c>
      <c r="N36" s="2105">
        <f t="shared" si="5"/>
        <v>0</v>
      </c>
      <c r="P36" s="2106" t="str">
        <f t="shared" si="6"/>
        <v>3.1.1</v>
      </c>
      <c r="Q36" s="2106" t="str">
        <f t="shared" si="7"/>
        <v xml:space="preserve"> Q1 3.1</v>
      </c>
      <c r="R36" s="2107" t="str">
        <f t="shared" si="8"/>
        <v>昼光率</v>
      </c>
      <c r="S36" s="2108">
        <f t="shared" si="9"/>
        <v>0.6</v>
      </c>
      <c r="T36" s="2108">
        <f t="shared" si="10"/>
        <v>0.6</v>
      </c>
      <c r="U36" s="2108">
        <f t="shared" si="11"/>
        <v>0</v>
      </c>
      <c r="V36" s="2108">
        <f t="shared" si="12"/>
        <v>0</v>
      </c>
      <c r="W36" s="2108">
        <f t="shared" si="13"/>
        <v>0.6</v>
      </c>
      <c r="X36" s="2108">
        <f t="shared" si="14"/>
        <v>0.6</v>
      </c>
      <c r="Y36" s="2108">
        <f t="shared" si="15"/>
        <v>0.6</v>
      </c>
      <c r="Z36" s="2126">
        <f t="shared" si="16"/>
        <v>0</v>
      </c>
      <c r="AA36" s="2108">
        <f t="shared" si="21"/>
        <v>0.6</v>
      </c>
      <c r="AB36" s="2108">
        <f t="shared" si="17"/>
        <v>0.6</v>
      </c>
      <c r="AC36" s="2109">
        <f t="shared" si="18"/>
        <v>0.6</v>
      </c>
      <c r="AD36" s="2108">
        <f t="shared" si="19"/>
        <v>0.6</v>
      </c>
      <c r="AE36" s="2108">
        <f t="shared" si="20"/>
        <v>0.5</v>
      </c>
      <c r="AG36" s="2106" t="s">
        <v>1243</v>
      </c>
      <c r="AH36" s="2110" t="s">
        <v>2784</v>
      </c>
      <c r="AI36" s="2111" t="s">
        <v>2785</v>
      </c>
      <c r="AJ36" s="2108">
        <v>0.6</v>
      </c>
      <c r="AK36" s="2108">
        <v>0.6</v>
      </c>
      <c r="AL36" s="2108"/>
      <c r="AM36" s="2108"/>
      <c r="AN36" s="2108">
        <v>0.6</v>
      </c>
      <c r="AO36" s="2108">
        <v>0.6</v>
      </c>
      <c r="AP36" s="2108">
        <v>0.6</v>
      </c>
      <c r="AQ36" s="2126"/>
      <c r="AR36" s="2108">
        <v>0.6</v>
      </c>
      <c r="AS36" s="2113">
        <v>0.6</v>
      </c>
      <c r="AT36" s="2114">
        <v>0.6</v>
      </c>
      <c r="AU36" s="2113">
        <v>0.6</v>
      </c>
      <c r="AV36" s="2113">
        <v>0.5</v>
      </c>
      <c r="AX36" s="2106" t="s">
        <v>1243</v>
      </c>
      <c r="AY36" s="2110" t="s">
        <v>2784</v>
      </c>
      <c r="AZ36" s="2111" t="s">
        <v>2785</v>
      </c>
      <c r="BA36" s="2113">
        <v>0.6</v>
      </c>
      <c r="BB36" s="2113">
        <v>0.6</v>
      </c>
      <c r="BC36" s="2113"/>
      <c r="BD36" s="2113"/>
      <c r="BE36" s="2113">
        <v>0.6</v>
      </c>
      <c r="BF36" s="2113">
        <v>0.6</v>
      </c>
      <c r="BG36" s="2113">
        <v>0.6</v>
      </c>
      <c r="BH36" s="2115"/>
      <c r="BI36" s="2113">
        <v>0.6</v>
      </c>
      <c r="BJ36" s="2113">
        <v>0.6</v>
      </c>
      <c r="BK36" s="2114">
        <v>0.6</v>
      </c>
      <c r="BL36" s="2113">
        <v>0.6</v>
      </c>
      <c r="BM36" s="2113">
        <v>0.5</v>
      </c>
      <c r="BO36" s="2106" t="s">
        <v>1243</v>
      </c>
      <c r="BP36" s="2110" t="s">
        <v>2784</v>
      </c>
      <c r="BQ36" s="2111" t="s">
        <v>2785</v>
      </c>
      <c r="BR36" s="2113">
        <v>0.6</v>
      </c>
      <c r="BS36" s="2113">
        <v>0.6</v>
      </c>
      <c r="BT36" s="2113"/>
      <c r="BU36" s="2113"/>
      <c r="BV36" s="2113">
        <v>0.6</v>
      </c>
      <c r="BW36" s="2113">
        <v>0.6</v>
      </c>
      <c r="BX36" s="2113">
        <v>0.6</v>
      </c>
      <c r="BY36" s="2115"/>
      <c r="BZ36" s="2113">
        <v>0.6</v>
      </c>
      <c r="CA36" s="2113">
        <v>0.6</v>
      </c>
      <c r="CB36" s="2114">
        <v>0.6</v>
      </c>
      <c r="CC36" s="2113">
        <v>0.6</v>
      </c>
      <c r="CD36" s="2113">
        <v>0.5</v>
      </c>
      <c r="CE36" s="2554"/>
    </row>
    <row r="37" spans="1:84">
      <c r="B37" s="2080" t="str">
        <f t="shared" si="0"/>
        <v>3.1.2</v>
      </c>
      <c r="C37" s="2103" t="str">
        <f t="shared" si="1"/>
        <v>方位別開口</v>
      </c>
      <c r="D37" s="2093">
        <f t="shared" si="24"/>
        <v>0</v>
      </c>
      <c r="E37" s="2105">
        <f t="shared" si="24"/>
        <v>0</v>
      </c>
      <c r="G37" s="2105">
        <f t="shared" si="2"/>
        <v>0</v>
      </c>
      <c r="H37" s="2105">
        <f t="shared" si="3"/>
        <v>0</v>
      </c>
      <c r="I37" s="2105"/>
      <c r="J37" s="2105"/>
      <c r="K37" s="2105">
        <f>IF(スコア!M37=0,0,1)</f>
        <v>0</v>
      </c>
      <c r="L37" s="2105">
        <f>IF(スコア!O37=0,0,1)</f>
        <v>1</v>
      </c>
      <c r="M37" s="2105">
        <f t="shared" si="4"/>
        <v>0</v>
      </c>
      <c r="N37" s="2105">
        <f t="shared" si="5"/>
        <v>0</v>
      </c>
      <c r="P37" s="2106" t="str">
        <f t="shared" si="6"/>
        <v>3.1.2</v>
      </c>
      <c r="Q37" s="2106" t="str">
        <f t="shared" si="7"/>
        <v xml:space="preserve"> Q1 3.1</v>
      </c>
      <c r="R37" s="2107" t="str">
        <f t="shared" si="8"/>
        <v>方位別開口</v>
      </c>
      <c r="S37" s="2108">
        <f t="shared" si="9"/>
        <v>0</v>
      </c>
      <c r="T37" s="2108">
        <f t="shared" si="10"/>
        <v>0</v>
      </c>
      <c r="U37" s="2108">
        <f t="shared" si="11"/>
        <v>0</v>
      </c>
      <c r="V37" s="2108">
        <f t="shared" si="12"/>
        <v>0</v>
      </c>
      <c r="W37" s="2108">
        <f t="shared" si="13"/>
        <v>0</v>
      </c>
      <c r="X37" s="2108">
        <f t="shared" si="14"/>
        <v>0</v>
      </c>
      <c r="Y37" s="2108">
        <f t="shared" si="15"/>
        <v>0</v>
      </c>
      <c r="Z37" s="2126">
        <f t="shared" si="16"/>
        <v>0</v>
      </c>
      <c r="AA37" s="2108">
        <f t="shared" si="21"/>
        <v>0</v>
      </c>
      <c r="AB37" s="2108">
        <f t="shared" si="17"/>
        <v>0</v>
      </c>
      <c r="AC37" s="2109">
        <f t="shared" si="18"/>
        <v>0</v>
      </c>
      <c r="AD37" s="2108">
        <f t="shared" si="19"/>
        <v>0</v>
      </c>
      <c r="AE37" s="2108">
        <f t="shared" si="20"/>
        <v>0.3</v>
      </c>
      <c r="AG37" s="2106" t="s">
        <v>1244</v>
      </c>
      <c r="AH37" s="2110" t="s">
        <v>2784</v>
      </c>
      <c r="AI37" s="2111" t="s">
        <v>2786</v>
      </c>
      <c r="AJ37" s="2108"/>
      <c r="AK37" s="2108"/>
      <c r="AL37" s="2108"/>
      <c r="AM37" s="2108"/>
      <c r="AN37" s="2108"/>
      <c r="AO37" s="2108"/>
      <c r="AP37" s="2108"/>
      <c r="AQ37" s="2126"/>
      <c r="AR37" s="2108"/>
      <c r="AS37" s="2113"/>
      <c r="AT37" s="2114"/>
      <c r="AU37" s="2113"/>
      <c r="AV37" s="2113">
        <v>0.3</v>
      </c>
      <c r="AX37" s="2106" t="s">
        <v>1244</v>
      </c>
      <c r="AY37" s="2110" t="s">
        <v>2784</v>
      </c>
      <c r="AZ37" s="2111" t="s">
        <v>2786</v>
      </c>
      <c r="BA37" s="2113"/>
      <c r="BB37" s="2113"/>
      <c r="BC37" s="2113"/>
      <c r="BD37" s="2113"/>
      <c r="BE37" s="2113"/>
      <c r="BF37" s="2113"/>
      <c r="BG37" s="2113"/>
      <c r="BH37" s="2115"/>
      <c r="BI37" s="2113"/>
      <c r="BJ37" s="2113"/>
      <c r="BK37" s="2114"/>
      <c r="BL37" s="2113"/>
      <c r="BM37" s="2113">
        <v>0.3</v>
      </c>
      <c r="BO37" s="2106" t="s">
        <v>1244</v>
      </c>
      <c r="BP37" s="2110" t="s">
        <v>2784</v>
      </c>
      <c r="BQ37" s="2111" t="s">
        <v>2786</v>
      </c>
      <c r="BR37" s="2113"/>
      <c r="BS37" s="2113"/>
      <c r="BT37" s="2113"/>
      <c r="BU37" s="2113"/>
      <c r="BV37" s="2113"/>
      <c r="BW37" s="2113"/>
      <c r="BX37" s="2113"/>
      <c r="BY37" s="2115"/>
      <c r="BZ37" s="2113"/>
      <c r="CA37" s="2113"/>
      <c r="CB37" s="2114"/>
      <c r="CC37" s="2113"/>
      <c r="CD37" s="2113">
        <v>0.3</v>
      </c>
      <c r="CE37" s="2554"/>
    </row>
    <row r="38" spans="1:84">
      <c r="B38" s="2080" t="str">
        <f t="shared" si="0"/>
        <v>3.1.3</v>
      </c>
      <c r="C38" s="2103" t="str">
        <f t="shared" si="1"/>
        <v>昼光利用設備</v>
      </c>
      <c r="D38" s="2093">
        <f t="shared" si="24"/>
        <v>0.4</v>
      </c>
      <c r="E38" s="2105">
        <f t="shared" si="24"/>
        <v>0</v>
      </c>
      <c r="G38" s="2105">
        <f t="shared" si="2"/>
        <v>0.4</v>
      </c>
      <c r="H38" s="2105">
        <f t="shared" si="3"/>
        <v>0</v>
      </c>
      <c r="I38" s="2105"/>
      <c r="J38" s="2105"/>
      <c r="K38" s="2105">
        <f>IF(スコア!M38=0,0,1)</f>
        <v>1</v>
      </c>
      <c r="L38" s="2105">
        <f>IF(スコア!O38=0,0,1)</f>
        <v>1</v>
      </c>
      <c r="M38" s="2105">
        <f t="shared" si="4"/>
        <v>0.4</v>
      </c>
      <c r="N38" s="2105">
        <f t="shared" si="5"/>
        <v>0</v>
      </c>
      <c r="P38" s="2106" t="str">
        <f t="shared" si="6"/>
        <v>3.1.3</v>
      </c>
      <c r="Q38" s="2106" t="str">
        <f t="shared" si="7"/>
        <v xml:space="preserve"> Q1 3.1</v>
      </c>
      <c r="R38" s="2107" t="str">
        <f t="shared" si="8"/>
        <v>昼光利用設備</v>
      </c>
      <c r="S38" s="2108">
        <f t="shared" si="9"/>
        <v>0.4</v>
      </c>
      <c r="T38" s="2108">
        <f t="shared" si="10"/>
        <v>0.4</v>
      </c>
      <c r="U38" s="2108">
        <f t="shared" si="11"/>
        <v>1</v>
      </c>
      <c r="V38" s="2108">
        <f t="shared" si="12"/>
        <v>1</v>
      </c>
      <c r="W38" s="2108">
        <f t="shared" si="13"/>
        <v>0.4</v>
      </c>
      <c r="X38" s="2108">
        <f t="shared" si="14"/>
        <v>0.4</v>
      </c>
      <c r="Y38" s="2108">
        <f t="shared" si="15"/>
        <v>0.4</v>
      </c>
      <c r="Z38" s="2126">
        <f t="shared" si="16"/>
        <v>0</v>
      </c>
      <c r="AA38" s="2108">
        <f t="shared" si="21"/>
        <v>0.4</v>
      </c>
      <c r="AB38" s="2108">
        <f t="shared" si="17"/>
        <v>0.4</v>
      </c>
      <c r="AC38" s="2109">
        <f t="shared" si="18"/>
        <v>0.4</v>
      </c>
      <c r="AD38" s="2108">
        <f t="shared" si="19"/>
        <v>0.4</v>
      </c>
      <c r="AE38" s="2108">
        <f t="shared" si="20"/>
        <v>0.2</v>
      </c>
      <c r="AG38" s="2106" t="s">
        <v>1245</v>
      </c>
      <c r="AH38" s="2110" t="s">
        <v>2784</v>
      </c>
      <c r="AI38" s="2111" t="s">
        <v>2787</v>
      </c>
      <c r="AJ38" s="2108">
        <v>0.4</v>
      </c>
      <c r="AK38" s="2108">
        <v>0.4</v>
      </c>
      <c r="AL38" s="2108">
        <v>1</v>
      </c>
      <c r="AM38" s="2108">
        <v>1</v>
      </c>
      <c r="AN38" s="2108">
        <v>0.4</v>
      </c>
      <c r="AO38" s="2108">
        <v>0.4</v>
      </c>
      <c r="AP38" s="2108">
        <v>0.4</v>
      </c>
      <c r="AQ38" s="2126"/>
      <c r="AR38" s="2108">
        <v>0.4</v>
      </c>
      <c r="AS38" s="2113">
        <v>0.4</v>
      </c>
      <c r="AT38" s="2114">
        <v>0.4</v>
      </c>
      <c r="AU38" s="2113">
        <v>0.4</v>
      </c>
      <c r="AV38" s="2113">
        <v>0.2</v>
      </c>
      <c r="AX38" s="2106" t="s">
        <v>1245</v>
      </c>
      <c r="AY38" s="2110" t="s">
        <v>2784</v>
      </c>
      <c r="AZ38" s="2111" t="s">
        <v>2787</v>
      </c>
      <c r="BA38" s="2113">
        <v>0.4</v>
      </c>
      <c r="BB38" s="2113">
        <v>0.4</v>
      </c>
      <c r="BC38" s="2113">
        <v>1</v>
      </c>
      <c r="BD38" s="2113">
        <v>1</v>
      </c>
      <c r="BE38" s="2113">
        <v>0.4</v>
      </c>
      <c r="BF38" s="2113">
        <v>0.4</v>
      </c>
      <c r="BG38" s="2113">
        <v>0.4</v>
      </c>
      <c r="BH38" s="2115"/>
      <c r="BI38" s="2113">
        <v>0.4</v>
      </c>
      <c r="BJ38" s="2113">
        <v>0.4</v>
      </c>
      <c r="BK38" s="2114">
        <v>0.4</v>
      </c>
      <c r="BL38" s="2113">
        <v>0.4</v>
      </c>
      <c r="BM38" s="2113">
        <v>0.2</v>
      </c>
      <c r="BO38" s="2106" t="s">
        <v>1245</v>
      </c>
      <c r="BP38" s="2110" t="s">
        <v>2784</v>
      </c>
      <c r="BQ38" s="2111" t="s">
        <v>2787</v>
      </c>
      <c r="BR38" s="2113">
        <v>0.4</v>
      </c>
      <c r="BS38" s="2113">
        <v>0.4</v>
      </c>
      <c r="BT38" s="2113">
        <v>1</v>
      </c>
      <c r="BU38" s="2113">
        <v>1</v>
      </c>
      <c r="BV38" s="2113">
        <v>0.4</v>
      </c>
      <c r="BW38" s="2113">
        <v>0.4</v>
      </c>
      <c r="BX38" s="2113">
        <v>0.4</v>
      </c>
      <c r="BY38" s="2115"/>
      <c r="BZ38" s="2113">
        <v>0.4</v>
      </c>
      <c r="CA38" s="2113">
        <v>0.4</v>
      </c>
      <c r="CB38" s="2114">
        <v>0.4</v>
      </c>
      <c r="CC38" s="2113">
        <v>0.4</v>
      </c>
      <c r="CD38" s="2113">
        <v>0.2</v>
      </c>
      <c r="CE38" s="2554"/>
    </row>
    <row r="39" spans="1:84">
      <c r="B39" s="2080">
        <f t="shared" si="0"/>
        <v>3.2</v>
      </c>
      <c r="C39" s="2103" t="str">
        <f t="shared" si="1"/>
        <v>グレア対策</v>
      </c>
      <c r="D39" s="2104">
        <f>IF(I$34=0,0,G39/I$34)</f>
        <v>0.3</v>
      </c>
      <c r="E39" s="2105">
        <f>IF(J$34=0,0,H39/J$34)</f>
        <v>0</v>
      </c>
      <c r="G39" s="2105">
        <f t="shared" si="2"/>
        <v>0.3</v>
      </c>
      <c r="H39" s="2105">
        <f t="shared" si="3"/>
        <v>0</v>
      </c>
      <c r="I39" s="2105">
        <f>SUM(G40:G42)</f>
        <v>0.6</v>
      </c>
      <c r="J39" s="2105">
        <f>SUM(H40:H42)</f>
        <v>0</v>
      </c>
      <c r="K39" s="2105">
        <f>IF(スコア!M39=0,0,1)</f>
        <v>1</v>
      </c>
      <c r="L39" s="2105">
        <f>IF(スコア!O39=0,0,1)</f>
        <v>0</v>
      </c>
      <c r="M39" s="2105">
        <f t="shared" si="4"/>
        <v>0.3</v>
      </c>
      <c r="N39" s="2105">
        <f t="shared" si="5"/>
        <v>0</v>
      </c>
      <c r="P39" s="2106">
        <f t="shared" si="6"/>
        <v>3.2</v>
      </c>
      <c r="Q39" s="2106" t="str">
        <f t="shared" si="7"/>
        <v xml:space="preserve"> Q1 3</v>
      </c>
      <c r="R39" s="2107" t="str">
        <f t="shared" si="8"/>
        <v>グレア対策</v>
      </c>
      <c r="S39" s="2108">
        <f t="shared" si="9"/>
        <v>0.3</v>
      </c>
      <c r="T39" s="2108">
        <f t="shared" si="10"/>
        <v>0.3</v>
      </c>
      <c r="U39" s="2108">
        <f t="shared" si="11"/>
        <v>0</v>
      </c>
      <c r="V39" s="2108">
        <f t="shared" si="12"/>
        <v>0</v>
      </c>
      <c r="W39" s="2108">
        <f t="shared" si="13"/>
        <v>0.3</v>
      </c>
      <c r="X39" s="2108">
        <f t="shared" si="14"/>
        <v>0.3</v>
      </c>
      <c r="Y39" s="2108">
        <f t="shared" si="15"/>
        <v>0.3</v>
      </c>
      <c r="Z39" s="2126">
        <f t="shared" si="16"/>
        <v>0</v>
      </c>
      <c r="AA39" s="2108">
        <f t="shared" si="21"/>
        <v>0.3</v>
      </c>
      <c r="AB39" s="2108">
        <f t="shared" si="17"/>
        <v>0.3</v>
      </c>
      <c r="AC39" s="2109">
        <f t="shared" si="18"/>
        <v>0.3</v>
      </c>
      <c r="AD39" s="2108">
        <f t="shared" si="19"/>
        <v>0.3</v>
      </c>
      <c r="AE39" s="2108">
        <f t="shared" si="20"/>
        <v>0.3</v>
      </c>
      <c r="AG39" s="2106">
        <v>3.2</v>
      </c>
      <c r="AH39" s="2110" t="s">
        <v>2783</v>
      </c>
      <c r="AI39" s="2111" t="s">
        <v>1975</v>
      </c>
      <c r="AJ39" s="2108">
        <v>0.3</v>
      </c>
      <c r="AK39" s="2108">
        <v>0.3</v>
      </c>
      <c r="AL39" s="2108"/>
      <c r="AM39" s="2108"/>
      <c r="AN39" s="2108">
        <v>0.3</v>
      </c>
      <c r="AO39" s="2108">
        <v>0.3</v>
      </c>
      <c r="AP39" s="2108">
        <v>0.3</v>
      </c>
      <c r="AQ39" s="2126"/>
      <c r="AR39" s="2108">
        <v>0.3</v>
      </c>
      <c r="AS39" s="2113">
        <v>0.3</v>
      </c>
      <c r="AT39" s="2114">
        <v>0.3</v>
      </c>
      <c r="AU39" s="2113">
        <v>0.3</v>
      </c>
      <c r="AV39" s="2113">
        <v>0.3</v>
      </c>
      <c r="AX39" s="2106">
        <v>3.2</v>
      </c>
      <c r="AY39" s="2110" t="s">
        <v>2783</v>
      </c>
      <c r="AZ39" s="2111" t="s">
        <v>1975</v>
      </c>
      <c r="BA39" s="2113">
        <v>0.3</v>
      </c>
      <c r="BB39" s="2113">
        <v>0.3</v>
      </c>
      <c r="BC39" s="2113"/>
      <c r="BD39" s="2113"/>
      <c r="BE39" s="2113">
        <v>0.3</v>
      </c>
      <c r="BF39" s="2113">
        <v>0.3</v>
      </c>
      <c r="BG39" s="2113">
        <v>0.3</v>
      </c>
      <c r="BH39" s="2115"/>
      <c r="BI39" s="2113">
        <v>0.3</v>
      </c>
      <c r="BJ39" s="2113">
        <v>0.3</v>
      </c>
      <c r="BK39" s="2114">
        <v>0.3</v>
      </c>
      <c r="BL39" s="2113">
        <v>0.3</v>
      </c>
      <c r="BM39" s="2113">
        <v>0.3</v>
      </c>
      <c r="BO39" s="2106">
        <v>3.2</v>
      </c>
      <c r="BP39" s="2110" t="s">
        <v>2783</v>
      </c>
      <c r="BQ39" s="2111" t="s">
        <v>1975</v>
      </c>
      <c r="BR39" s="2113">
        <v>0.3</v>
      </c>
      <c r="BS39" s="2113">
        <v>0.3</v>
      </c>
      <c r="BT39" s="2113"/>
      <c r="BU39" s="2113"/>
      <c r="BV39" s="2113">
        <v>0.3</v>
      </c>
      <c r="BW39" s="2113">
        <v>0.3</v>
      </c>
      <c r="BX39" s="2113">
        <v>0.3</v>
      </c>
      <c r="BY39" s="2115"/>
      <c r="BZ39" s="2113">
        <v>0.3</v>
      </c>
      <c r="CA39" s="2113">
        <v>0.3</v>
      </c>
      <c r="CB39" s="2114">
        <v>0.3</v>
      </c>
      <c r="CC39" s="2113">
        <v>0.3</v>
      </c>
      <c r="CD39" s="2113">
        <v>0.3</v>
      </c>
      <c r="CE39" s="2554"/>
    </row>
    <row r="40" spans="1:84">
      <c r="B40" s="2080" t="str">
        <f t="shared" si="0"/>
        <v>3.2.1</v>
      </c>
      <c r="C40" s="2103" t="str">
        <f t="shared" si="1"/>
        <v>照明器具のグレア</v>
      </c>
      <c r="D40" s="2093">
        <f t="shared" ref="D40:E42" si="25">IF(I$39&gt;0,G40/I$39,0)</f>
        <v>0</v>
      </c>
      <c r="E40" s="2105">
        <f t="shared" si="25"/>
        <v>0</v>
      </c>
      <c r="G40" s="2105">
        <f t="shared" si="2"/>
        <v>0</v>
      </c>
      <c r="H40" s="2105">
        <f t="shared" si="3"/>
        <v>0</v>
      </c>
      <c r="I40" s="2105"/>
      <c r="J40" s="2105"/>
      <c r="K40" s="2105">
        <f>IF(スコア!M40=0,0,1)</f>
        <v>0</v>
      </c>
      <c r="L40" s="2105">
        <f>IF(スコア!O40=0,0,1)</f>
        <v>0</v>
      </c>
      <c r="M40" s="2105">
        <f t="shared" si="4"/>
        <v>0.4</v>
      </c>
      <c r="N40" s="2105">
        <f t="shared" si="5"/>
        <v>0</v>
      </c>
      <c r="P40" s="2106" t="str">
        <f t="shared" si="6"/>
        <v>3.2.1</v>
      </c>
      <c r="Q40" s="2106" t="str">
        <f t="shared" si="7"/>
        <v xml:space="preserve"> Q1 3.2</v>
      </c>
      <c r="R40" s="2107" t="str">
        <f t="shared" si="8"/>
        <v>照明器具のグレア</v>
      </c>
      <c r="S40" s="2108">
        <f t="shared" si="9"/>
        <v>0.4</v>
      </c>
      <c r="T40" s="2108">
        <f t="shared" si="10"/>
        <v>0.4</v>
      </c>
      <c r="U40" s="2108">
        <f t="shared" si="11"/>
        <v>0</v>
      </c>
      <c r="V40" s="2108">
        <f t="shared" si="12"/>
        <v>0</v>
      </c>
      <c r="W40" s="2108">
        <f t="shared" si="13"/>
        <v>0.4</v>
      </c>
      <c r="X40" s="2108">
        <f t="shared" si="14"/>
        <v>0.4</v>
      </c>
      <c r="Y40" s="2108">
        <f t="shared" si="15"/>
        <v>0.4</v>
      </c>
      <c r="Z40" s="2126">
        <f t="shared" si="16"/>
        <v>0</v>
      </c>
      <c r="AA40" s="2108">
        <f t="shared" si="21"/>
        <v>0.4</v>
      </c>
      <c r="AB40" s="2108">
        <f t="shared" si="17"/>
        <v>0.4</v>
      </c>
      <c r="AC40" s="2109">
        <f t="shared" si="18"/>
        <v>0.4</v>
      </c>
      <c r="AD40" s="2108">
        <f t="shared" si="19"/>
        <v>0.4</v>
      </c>
      <c r="AE40" s="2108">
        <f t="shared" si="20"/>
        <v>0.4</v>
      </c>
      <c r="AG40" s="2106" t="s">
        <v>1246</v>
      </c>
      <c r="AH40" s="2110" t="s">
        <v>2788</v>
      </c>
      <c r="AI40" s="2111" t="s">
        <v>2789</v>
      </c>
      <c r="AJ40" s="2118">
        <v>0.4</v>
      </c>
      <c r="AK40" s="2118">
        <v>0.4</v>
      </c>
      <c r="AL40" s="2118"/>
      <c r="AM40" s="2118"/>
      <c r="AN40" s="2118">
        <v>0.4</v>
      </c>
      <c r="AO40" s="2118">
        <v>0.4</v>
      </c>
      <c r="AP40" s="2118">
        <v>0.4</v>
      </c>
      <c r="AQ40" s="2128"/>
      <c r="AR40" s="2118">
        <v>0.4</v>
      </c>
      <c r="AS40" s="2130">
        <v>0.3</v>
      </c>
      <c r="AT40" s="2114">
        <v>0.4</v>
      </c>
      <c r="AU40" s="2113">
        <v>0.4</v>
      </c>
      <c r="AV40" s="2113">
        <v>0.4</v>
      </c>
      <c r="AX40" s="2106" t="s">
        <v>1246</v>
      </c>
      <c r="AY40" s="2110" t="s">
        <v>2788</v>
      </c>
      <c r="AZ40" s="2111" t="s">
        <v>2789</v>
      </c>
      <c r="BA40" s="2113"/>
      <c r="BB40" s="2113"/>
      <c r="BC40" s="2113"/>
      <c r="BD40" s="2113"/>
      <c r="BE40" s="2113"/>
      <c r="BF40" s="2113"/>
      <c r="BG40" s="2113"/>
      <c r="BH40" s="2115"/>
      <c r="BI40" s="2113"/>
      <c r="BJ40" s="2113"/>
      <c r="BK40" s="2114"/>
      <c r="BL40" s="2113"/>
      <c r="BM40" s="2113"/>
      <c r="BO40" s="2106" t="s">
        <v>1246</v>
      </c>
      <c r="BP40" s="2110" t="s">
        <v>2788</v>
      </c>
      <c r="BQ40" s="2111" t="s">
        <v>2789</v>
      </c>
      <c r="BR40" s="2113">
        <v>0.4</v>
      </c>
      <c r="BS40" s="2113">
        <v>0.4</v>
      </c>
      <c r="BT40" s="2113"/>
      <c r="BU40" s="2113"/>
      <c r="BV40" s="2113">
        <v>0.4</v>
      </c>
      <c r="BW40" s="2113">
        <v>0.4</v>
      </c>
      <c r="BX40" s="2113">
        <v>0.4</v>
      </c>
      <c r="BY40" s="2115"/>
      <c r="BZ40" s="2113">
        <v>0.4</v>
      </c>
      <c r="CA40" s="2113">
        <v>0.4</v>
      </c>
      <c r="CB40" s="2114">
        <v>0.4</v>
      </c>
      <c r="CC40" s="2113">
        <v>0.4</v>
      </c>
      <c r="CD40" s="2113">
        <v>0.4</v>
      </c>
      <c r="CE40" s="2554"/>
    </row>
    <row r="41" spans="1:84">
      <c r="B41" s="2080" t="str">
        <f t="shared" si="0"/>
        <v>3.2.2</v>
      </c>
      <c r="C41" s="2103" t="str">
        <f t="shared" ref="C41:C72" si="26">R41</f>
        <v>昼光制御</v>
      </c>
      <c r="D41" s="2093">
        <f t="shared" si="25"/>
        <v>1</v>
      </c>
      <c r="E41" s="2105">
        <f t="shared" si="25"/>
        <v>0</v>
      </c>
      <c r="G41" s="2105">
        <f t="shared" ref="G41:G72" si="27">K41*M41</f>
        <v>0.6</v>
      </c>
      <c r="H41" s="2105">
        <f t="shared" ref="H41:H72" si="28">L41*N41</f>
        <v>0</v>
      </c>
      <c r="I41" s="2105"/>
      <c r="J41" s="2105"/>
      <c r="K41" s="2105">
        <f>IF(スコア!M41=0,0,1)</f>
        <v>1</v>
      </c>
      <c r="L41" s="2105">
        <f>IF(スコア!O41=0,0,1)</f>
        <v>1</v>
      </c>
      <c r="M41" s="2105">
        <f t="shared" ref="M41:M72" si="29">SUMPRODUCT($S$7:$AB$7,S41:AB41)</f>
        <v>0.6</v>
      </c>
      <c r="N41" s="2105">
        <f t="shared" ref="N41:N72" si="30">(AC$7*AC41)+(AD$7*AD41)+(AE$7*AE41)</f>
        <v>0</v>
      </c>
      <c r="P41" s="2106" t="str">
        <f t="shared" si="6"/>
        <v>3.2.2</v>
      </c>
      <c r="Q41" s="2106" t="str">
        <f t="shared" si="7"/>
        <v xml:space="preserve"> Q1 3.2</v>
      </c>
      <c r="R41" s="2107" t="str">
        <f t="shared" ref="R41:R72" si="31">IF($P$3=1,AZ41,IF($P$3=2,BQ41,AI41))</f>
        <v>昼光制御</v>
      </c>
      <c r="S41" s="2108">
        <f t="shared" ref="S41:S72" si="32">IF($P$3=1,BA41,IF($P$3=2,BR41,AJ41))</f>
        <v>0.6</v>
      </c>
      <c r="T41" s="2108">
        <f t="shared" ref="T41:T72" si="33">IF($P$3=1,BB41,IF($P$3=2,BS41,AK41))</f>
        <v>0.6</v>
      </c>
      <c r="U41" s="2108">
        <f t="shared" ref="U41:U72" si="34">IF($P$3=1,BC41,IF($P$3=2,BT41,AL41))</f>
        <v>0</v>
      </c>
      <c r="V41" s="2108">
        <f t="shared" ref="V41:V72" si="35">IF($P$3=1,BD41,IF($P$3=2,BU41,AM41))</f>
        <v>0</v>
      </c>
      <c r="W41" s="2108">
        <f t="shared" ref="W41:W72" si="36">IF($P$3=1,BE41,IF($P$3=2,BV41,AN41))</f>
        <v>0.6</v>
      </c>
      <c r="X41" s="2108">
        <f t="shared" ref="X41:X72" si="37">IF($P$3=1,BF41,IF($P$3=2,BW41,AO41))</f>
        <v>0.6</v>
      </c>
      <c r="Y41" s="2108">
        <f t="shared" ref="Y41:Y72" si="38">IF($P$3=1,BG41,IF($P$3=2,BX41,AP41))</f>
        <v>0.6</v>
      </c>
      <c r="Z41" s="2126">
        <f t="shared" ref="Z41:Z72" si="39">IF($P$3=1,BH41,IF($P$3=2,BY41,AQ41))</f>
        <v>0</v>
      </c>
      <c r="AA41" s="2108">
        <f t="shared" ref="AA41:AA72" si="40">IF($P$3=1,BI41,IF($P$3=2,BZ41,AR41))</f>
        <v>0.6</v>
      </c>
      <c r="AB41" s="2108">
        <f t="shared" ref="AB41:AB72" si="41">IF($P$3=1,BJ41,IF($P$3=2,CA41,AS41))</f>
        <v>0.6</v>
      </c>
      <c r="AC41" s="2109">
        <f t="shared" ref="AC41:AC72" si="42">IF($P$3=1,BK41,IF($P$3=2,CB41,AT41))</f>
        <v>0.6</v>
      </c>
      <c r="AD41" s="2108">
        <f t="shared" ref="AD41:AD72" si="43">IF($P$3=1,BL41,IF($P$3=2,CC41,AU41))</f>
        <v>0.6</v>
      </c>
      <c r="AE41" s="2108">
        <f t="shared" ref="AE41:AE72" si="44">IF($P$3=1,BM41,IF($P$3=2,CD41,AV41))</f>
        <v>0.6</v>
      </c>
      <c r="AG41" s="2106" t="s">
        <v>1247</v>
      </c>
      <c r="AH41" s="2110" t="s">
        <v>2788</v>
      </c>
      <c r="AI41" s="2111" t="s">
        <v>2790</v>
      </c>
      <c r="AJ41" s="2108">
        <v>0.6</v>
      </c>
      <c r="AK41" s="2108">
        <v>0.6</v>
      </c>
      <c r="AL41" s="2108"/>
      <c r="AM41" s="2108"/>
      <c r="AN41" s="2108">
        <v>0.6</v>
      </c>
      <c r="AO41" s="2108">
        <v>0.6</v>
      </c>
      <c r="AP41" s="2108">
        <v>0.6</v>
      </c>
      <c r="AQ41" s="2126"/>
      <c r="AR41" s="2108">
        <v>0.6</v>
      </c>
      <c r="AS41" s="2130">
        <v>0.4</v>
      </c>
      <c r="AT41" s="2114">
        <v>0.6</v>
      </c>
      <c r="AU41" s="2113">
        <v>0.6</v>
      </c>
      <c r="AV41" s="2113">
        <v>0.6</v>
      </c>
      <c r="AX41" s="2106" t="s">
        <v>1247</v>
      </c>
      <c r="AY41" s="2110" t="s">
        <v>2788</v>
      </c>
      <c r="AZ41" s="2111" t="s">
        <v>2790</v>
      </c>
      <c r="BA41" s="2113">
        <v>1</v>
      </c>
      <c r="BB41" s="2113">
        <v>1</v>
      </c>
      <c r="BC41" s="2113"/>
      <c r="BD41" s="2113"/>
      <c r="BE41" s="2113">
        <v>1</v>
      </c>
      <c r="BF41" s="2113">
        <v>1</v>
      </c>
      <c r="BG41" s="2113">
        <v>1</v>
      </c>
      <c r="BH41" s="2115"/>
      <c r="BI41" s="2113">
        <v>1</v>
      </c>
      <c r="BJ41" s="2113">
        <v>1</v>
      </c>
      <c r="BK41" s="2114">
        <v>1</v>
      </c>
      <c r="BL41" s="2113">
        <v>1</v>
      </c>
      <c r="BM41" s="2113">
        <v>1</v>
      </c>
      <c r="BO41" s="2106" t="s">
        <v>1247</v>
      </c>
      <c r="BP41" s="2110" t="s">
        <v>2788</v>
      </c>
      <c r="BQ41" s="2111" t="s">
        <v>2790</v>
      </c>
      <c r="BR41" s="2113">
        <v>0.6</v>
      </c>
      <c r="BS41" s="2113">
        <v>0.6</v>
      </c>
      <c r="BT41" s="2113"/>
      <c r="BU41" s="2113"/>
      <c r="BV41" s="2113">
        <v>0.6</v>
      </c>
      <c r="BW41" s="2113">
        <v>0.6</v>
      </c>
      <c r="BX41" s="2113">
        <v>0.6</v>
      </c>
      <c r="BY41" s="2115"/>
      <c r="BZ41" s="2113">
        <v>0.6</v>
      </c>
      <c r="CA41" s="2113">
        <v>0.6</v>
      </c>
      <c r="CB41" s="2114">
        <v>0.6</v>
      </c>
      <c r="CC41" s="2113">
        <v>0.6</v>
      </c>
      <c r="CD41" s="2113">
        <v>0.6</v>
      </c>
      <c r="CE41" s="2554"/>
    </row>
    <row r="42" spans="1:84">
      <c r="B42" s="2080" t="s">
        <v>1248</v>
      </c>
      <c r="C42" s="2131" t="str">
        <f t="shared" si="26"/>
        <v>映り込み対策</v>
      </c>
      <c r="D42" s="2132">
        <f>IF(I$39&gt;0,G42/I$39,0)</f>
        <v>0</v>
      </c>
      <c r="E42" s="2133">
        <f t="shared" si="25"/>
        <v>0</v>
      </c>
      <c r="G42" s="2133">
        <f t="shared" si="27"/>
        <v>0</v>
      </c>
      <c r="H42" s="2133">
        <f t="shared" si="28"/>
        <v>0</v>
      </c>
      <c r="I42" s="2133"/>
      <c r="J42" s="2133"/>
      <c r="K42" s="2133">
        <f>IF(スコア!M42=0,0,1)</f>
        <v>0</v>
      </c>
      <c r="L42" s="2133">
        <f>IF(スコア!O42=0,0,1)</f>
        <v>0</v>
      </c>
      <c r="M42" s="2133">
        <f t="shared" si="29"/>
        <v>0</v>
      </c>
      <c r="N42" s="2133">
        <f t="shared" si="30"/>
        <v>0</v>
      </c>
      <c r="P42" s="2134" t="str">
        <f t="shared" si="6"/>
        <v>3.2.3</v>
      </c>
      <c r="Q42" s="2134" t="str">
        <f t="shared" si="7"/>
        <v xml:space="preserve"> Q1 3.3</v>
      </c>
      <c r="R42" s="2135" t="str">
        <f t="shared" si="31"/>
        <v>映り込み対策</v>
      </c>
      <c r="S42" s="2118">
        <f t="shared" si="32"/>
        <v>0</v>
      </c>
      <c r="T42" s="2118">
        <f t="shared" si="33"/>
        <v>0</v>
      </c>
      <c r="U42" s="2118">
        <f t="shared" si="34"/>
        <v>0</v>
      </c>
      <c r="V42" s="2118">
        <f t="shared" si="35"/>
        <v>0</v>
      </c>
      <c r="W42" s="2118">
        <f t="shared" si="36"/>
        <v>0</v>
      </c>
      <c r="X42" s="2118">
        <f t="shared" si="37"/>
        <v>0</v>
      </c>
      <c r="Y42" s="2118">
        <f t="shared" si="38"/>
        <v>0</v>
      </c>
      <c r="Z42" s="2136">
        <f t="shared" si="39"/>
        <v>0</v>
      </c>
      <c r="AA42" s="2118">
        <f t="shared" si="40"/>
        <v>0</v>
      </c>
      <c r="AB42" s="2118">
        <f t="shared" si="41"/>
        <v>0</v>
      </c>
      <c r="AC42" s="2137">
        <f t="shared" si="42"/>
        <v>0</v>
      </c>
      <c r="AD42" s="2118">
        <f t="shared" si="43"/>
        <v>0</v>
      </c>
      <c r="AE42" s="2118">
        <f t="shared" si="44"/>
        <v>0</v>
      </c>
      <c r="AG42" s="2106" t="s">
        <v>2791</v>
      </c>
      <c r="AH42" s="2110" t="s">
        <v>2792</v>
      </c>
      <c r="AI42" s="2111" t="s">
        <v>1077</v>
      </c>
      <c r="AJ42" s="2108"/>
      <c r="AK42" s="2108"/>
      <c r="AL42" s="2108"/>
      <c r="AM42" s="2108"/>
      <c r="AN42" s="2108"/>
      <c r="AO42" s="2108"/>
      <c r="AP42" s="2108"/>
      <c r="AQ42" s="2126"/>
      <c r="AR42" s="2108"/>
      <c r="AS42" s="2130">
        <v>0.3</v>
      </c>
      <c r="AT42" s="2114"/>
      <c r="AU42" s="2113"/>
      <c r="AV42" s="2113"/>
      <c r="AX42" s="2134" t="s">
        <v>1249</v>
      </c>
      <c r="AY42" s="2138" t="s">
        <v>2792</v>
      </c>
      <c r="AZ42" s="2139" t="s">
        <v>1077</v>
      </c>
      <c r="BA42" s="2140"/>
      <c r="BB42" s="2140"/>
      <c r="BC42" s="2140"/>
      <c r="BD42" s="2140"/>
      <c r="BE42" s="2140"/>
      <c r="BF42" s="2140"/>
      <c r="BG42" s="2140"/>
      <c r="BH42" s="2141"/>
      <c r="BI42" s="2140"/>
      <c r="BJ42" s="2140"/>
      <c r="BK42" s="2142"/>
      <c r="BL42" s="2140"/>
      <c r="BM42" s="2140"/>
      <c r="BO42" s="2134" t="s">
        <v>1249</v>
      </c>
      <c r="BP42" s="2138" t="s">
        <v>2792</v>
      </c>
      <c r="BQ42" s="2139" t="s">
        <v>1077</v>
      </c>
      <c r="BR42" s="2143"/>
      <c r="BS42" s="2143"/>
      <c r="BT42" s="2143"/>
      <c r="BU42" s="2143"/>
      <c r="BV42" s="2143"/>
      <c r="BW42" s="2143"/>
      <c r="BX42" s="2143"/>
      <c r="BY42" s="2144"/>
      <c r="BZ42" s="2143"/>
      <c r="CA42" s="2143"/>
      <c r="CB42" s="2145"/>
      <c r="CC42" s="2143"/>
      <c r="CD42" s="2143"/>
      <c r="CE42" s="2555"/>
    </row>
    <row r="43" spans="1:84">
      <c r="B43" s="2080">
        <f t="shared" ref="B43:B74" si="45">P43</f>
        <v>3.3</v>
      </c>
      <c r="C43" s="2125" t="str">
        <f t="shared" si="26"/>
        <v>照度</v>
      </c>
      <c r="D43" s="2104">
        <f>IF(I$34=0,0,G43/I$34)</f>
        <v>0.15</v>
      </c>
      <c r="E43" s="2105">
        <f>IF(J$34=0,0,H43/J$34)</f>
        <v>0</v>
      </c>
      <c r="G43" s="2105">
        <f t="shared" si="27"/>
        <v>0.15</v>
      </c>
      <c r="H43" s="2105">
        <f t="shared" si="28"/>
        <v>0</v>
      </c>
      <c r="I43" s="2105">
        <f>SUM(G44:G45)</f>
        <v>0</v>
      </c>
      <c r="J43" s="2105">
        <f>SUM(H44:H45)</f>
        <v>0</v>
      </c>
      <c r="K43" s="2105">
        <f>IF(スコア!M43=0,0,1)</f>
        <v>1</v>
      </c>
      <c r="L43" s="2105">
        <f>IF(スコア!O43=0,0,1)</f>
        <v>1</v>
      </c>
      <c r="M43" s="2105">
        <f t="shared" si="29"/>
        <v>0.15</v>
      </c>
      <c r="N43" s="2105">
        <f t="shared" si="30"/>
        <v>0</v>
      </c>
      <c r="P43" s="2106">
        <f t="shared" si="6"/>
        <v>3.3</v>
      </c>
      <c r="Q43" s="2106" t="str">
        <f t="shared" si="7"/>
        <v xml:space="preserve"> Q1 3</v>
      </c>
      <c r="R43" s="2107" t="str">
        <f t="shared" si="31"/>
        <v>照度</v>
      </c>
      <c r="S43" s="2108">
        <f t="shared" si="32"/>
        <v>0.15</v>
      </c>
      <c r="T43" s="2108">
        <f t="shared" si="33"/>
        <v>0.15</v>
      </c>
      <c r="U43" s="2108">
        <f t="shared" si="34"/>
        <v>0</v>
      </c>
      <c r="V43" s="2108">
        <f t="shared" si="35"/>
        <v>0</v>
      </c>
      <c r="W43" s="2108">
        <f t="shared" si="36"/>
        <v>0.15</v>
      </c>
      <c r="X43" s="2108">
        <f t="shared" si="37"/>
        <v>0.15</v>
      </c>
      <c r="Y43" s="2108">
        <f t="shared" si="38"/>
        <v>0.15</v>
      </c>
      <c r="Z43" s="2126">
        <f t="shared" si="39"/>
        <v>0</v>
      </c>
      <c r="AA43" s="2108">
        <f t="shared" si="40"/>
        <v>0.15</v>
      </c>
      <c r="AB43" s="2108">
        <f t="shared" si="41"/>
        <v>0.15</v>
      </c>
      <c r="AC43" s="2109">
        <f t="shared" si="42"/>
        <v>0.15</v>
      </c>
      <c r="AD43" s="2108">
        <f t="shared" si="43"/>
        <v>0.15</v>
      </c>
      <c r="AE43" s="2108">
        <f t="shared" si="44"/>
        <v>0.15</v>
      </c>
      <c r="AG43" s="2106">
        <v>3.3</v>
      </c>
      <c r="AH43" s="2110" t="s">
        <v>2783</v>
      </c>
      <c r="AI43" s="2107" t="s">
        <v>1078</v>
      </c>
      <c r="AJ43" s="2108">
        <v>0.15</v>
      </c>
      <c r="AK43" s="2108">
        <v>0.15</v>
      </c>
      <c r="AL43" s="2108"/>
      <c r="AM43" s="2108"/>
      <c r="AN43" s="2108">
        <v>0.15</v>
      </c>
      <c r="AO43" s="2108">
        <v>0.15</v>
      </c>
      <c r="AP43" s="2108">
        <v>0.15</v>
      </c>
      <c r="AQ43" s="2126"/>
      <c r="AR43" s="2108">
        <v>0.15</v>
      </c>
      <c r="AS43" s="2113">
        <v>0.15</v>
      </c>
      <c r="AT43" s="2114">
        <v>0.15</v>
      </c>
      <c r="AU43" s="2113">
        <v>0.15</v>
      </c>
      <c r="AV43" s="2113">
        <v>0.15</v>
      </c>
      <c r="AX43" s="2106">
        <v>3.3</v>
      </c>
      <c r="AY43" s="2110" t="s">
        <v>2783</v>
      </c>
      <c r="AZ43" s="2107" t="s">
        <v>1078</v>
      </c>
      <c r="BA43" s="2113">
        <v>0.15</v>
      </c>
      <c r="BB43" s="2113">
        <v>0.15</v>
      </c>
      <c r="BC43" s="2113"/>
      <c r="BD43" s="2113"/>
      <c r="BE43" s="2113">
        <v>0.15</v>
      </c>
      <c r="BF43" s="2113">
        <v>0.15</v>
      </c>
      <c r="BG43" s="2113">
        <v>0.15</v>
      </c>
      <c r="BH43" s="2115"/>
      <c r="BI43" s="2113">
        <v>0.15</v>
      </c>
      <c r="BJ43" s="2113">
        <v>0.15</v>
      </c>
      <c r="BK43" s="2114">
        <v>0.15</v>
      </c>
      <c r="BL43" s="2113">
        <v>0.15</v>
      </c>
      <c r="BM43" s="2113">
        <v>0.15</v>
      </c>
      <c r="BO43" s="2106">
        <v>3.3</v>
      </c>
      <c r="BP43" s="2110" t="s">
        <v>2783</v>
      </c>
      <c r="BQ43" s="2107" t="s">
        <v>1078</v>
      </c>
      <c r="BR43" s="2113">
        <v>0.15</v>
      </c>
      <c r="BS43" s="2113">
        <v>0.15</v>
      </c>
      <c r="BT43" s="2113"/>
      <c r="BU43" s="2113"/>
      <c r="BV43" s="2113">
        <v>0.15</v>
      </c>
      <c r="BW43" s="2113">
        <v>0.15</v>
      </c>
      <c r="BX43" s="2113">
        <v>0.15</v>
      </c>
      <c r="BY43" s="2115"/>
      <c r="BZ43" s="2113">
        <v>0.15</v>
      </c>
      <c r="CA43" s="2113">
        <v>0.15</v>
      </c>
      <c r="CB43" s="2114">
        <v>0.15</v>
      </c>
      <c r="CC43" s="2113">
        <v>0.15</v>
      </c>
      <c r="CD43" s="2113">
        <v>0.15</v>
      </c>
      <c r="CE43" s="2554"/>
    </row>
    <row r="44" spans="1:84" hidden="1">
      <c r="B44" s="2080" t="str">
        <f t="shared" si="45"/>
        <v>3.3.1</v>
      </c>
      <c r="C44" s="2131" t="str">
        <f t="shared" si="26"/>
        <v>照度</v>
      </c>
      <c r="D44" s="2132">
        <f>IF(I$43&gt;0,G44/I$43,0)</f>
        <v>0</v>
      </c>
      <c r="E44" s="2133">
        <f>IF(J$43&gt;0,H44/J$43,0)</f>
        <v>0</v>
      </c>
      <c r="G44" s="2133">
        <f t="shared" si="27"/>
        <v>0</v>
      </c>
      <c r="H44" s="2133">
        <f t="shared" si="28"/>
        <v>0</v>
      </c>
      <c r="I44" s="2133"/>
      <c r="J44" s="2133"/>
      <c r="K44" s="2133">
        <f>IF(スコア!M44=0,0,1)</f>
        <v>0</v>
      </c>
      <c r="L44" s="2133">
        <f>IF(スコア!O44=0,0,1)</f>
        <v>0</v>
      </c>
      <c r="M44" s="2133">
        <f t="shared" si="29"/>
        <v>0</v>
      </c>
      <c r="N44" s="2133">
        <f t="shared" si="30"/>
        <v>0</v>
      </c>
      <c r="P44" s="2134" t="str">
        <f t="shared" si="6"/>
        <v>3.3.1</v>
      </c>
      <c r="Q44" s="2134" t="str">
        <f t="shared" si="7"/>
        <v xml:space="preserve"> Q1 3.3</v>
      </c>
      <c r="R44" s="2135" t="str">
        <f t="shared" si="31"/>
        <v>照度</v>
      </c>
      <c r="S44" s="2118">
        <f t="shared" si="32"/>
        <v>0</v>
      </c>
      <c r="T44" s="2118">
        <f t="shared" si="33"/>
        <v>0</v>
      </c>
      <c r="U44" s="2118">
        <f t="shared" si="34"/>
        <v>0</v>
      </c>
      <c r="V44" s="2118">
        <f t="shared" si="35"/>
        <v>0</v>
      </c>
      <c r="W44" s="2118">
        <f t="shared" si="36"/>
        <v>0</v>
      </c>
      <c r="X44" s="2118">
        <f t="shared" si="37"/>
        <v>0</v>
      </c>
      <c r="Y44" s="2118">
        <f t="shared" si="38"/>
        <v>0</v>
      </c>
      <c r="Z44" s="2136">
        <f t="shared" si="39"/>
        <v>0</v>
      </c>
      <c r="AA44" s="2118">
        <f t="shared" si="40"/>
        <v>0</v>
      </c>
      <c r="AB44" s="2118">
        <f t="shared" si="41"/>
        <v>0</v>
      </c>
      <c r="AC44" s="2137">
        <f t="shared" si="42"/>
        <v>0</v>
      </c>
      <c r="AD44" s="2118">
        <f t="shared" si="43"/>
        <v>0</v>
      </c>
      <c r="AE44" s="2118">
        <f t="shared" si="44"/>
        <v>0</v>
      </c>
      <c r="AG44" s="2134" t="s">
        <v>2294</v>
      </c>
      <c r="AH44" s="2138" t="s">
        <v>2792</v>
      </c>
      <c r="AI44" s="2139" t="s">
        <v>2295</v>
      </c>
      <c r="AJ44" s="2108"/>
      <c r="AK44" s="2108"/>
      <c r="AL44" s="2108"/>
      <c r="AM44" s="2108"/>
      <c r="AN44" s="2108"/>
      <c r="AO44" s="2108"/>
      <c r="AP44" s="2108"/>
      <c r="AQ44" s="2126"/>
      <c r="AR44" s="2108"/>
      <c r="AS44" s="2140"/>
      <c r="AT44" s="2142"/>
      <c r="AU44" s="2140"/>
      <c r="AV44" s="2140"/>
      <c r="AX44" s="2134" t="s">
        <v>2294</v>
      </c>
      <c r="AY44" s="2138" t="s">
        <v>2792</v>
      </c>
      <c r="AZ44" s="2139" t="s">
        <v>2295</v>
      </c>
      <c r="BA44" s="2140"/>
      <c r="BB44" s="2140"/>
      <c r="BC44" s="2140"/>
      <c r="BD44" s="2140"/>
      <c r="BE44" s="2140"/>
      <c r="BF44" s="2140"/>
      <c r="BG44" s="2140"/>
      <c r="BH44" s="2141"/>
      <c r="BI44" s="2140"/>
      <c r="BJ44" s="2140"/>
      <c r="BK44" s="2142"/>
      <c r="BL44" s="2140"/>
      <c r="BM44" s="2140"/>
      <c r="BO44" s="2134" t="s">
        <v>2294</v>
      </c>
      <c r="BP44" s="2138" t="s">
        <v>2792</v>
      </c>
      <c r="BQ44" s="2139" t="s">
        <v>2295</v>
      </c>
      <c r="BR44" s="2143"/>
      <c r="BS44" s="2143"/>
      <c r="BT44" s="2143"/>
      <c r="BU44" s="2143"/>
      <c r="BV44" s="2143"/>
      <c r="BW44" s="2143"/>
      <c r="BX44" s="2143"/>
      <c r="BY44" s="2144"/>
      <c r="BZ44" s="2143"/>
      <c r="CA44" s="2143"/>
      <c r="CB44" s="2145"/>
      <c r="CC44" s="2143"/>
      <c r="CD44" s="2143"/>
      <c r="CE44" s="2555"/>
    </row>
    <row r="45" spans="1:84" hidden="1">
      <c r="B45" s="2080" t="str">
        <f t="shared" si="45"/>
        <v>3.3.2</v>
      </c>
      <c r="C45" s="2131" t="str">
        <f t="shared" si="26"/>
        <v>照度均斉度</v>
      </c>
      <c r="D45" s="2132">
        <f>IF(I$43&gt;0,G45/I$43,0)</f>
        <v>0</v>
      </c>
      <c r="E45" s="2133">
        <f>IF(J$43&gt;0,H45/J$43,0)</f>
        <v>0</v>
      </c>
      <c r="G45" s="2133">
        <f t="shared" si="27"/>
        <v>0</v>
      </c>
      <c r="H45" s="2133">
        <f t="shared" si="28"/>
        <v>0</v>
      </c>
      <c r="I45" s="2133"/>
      <c r="J45" s="2133"/>
      <c r="K45" s="2133">
        <f>IF(スコア!M45=0,0,1)</f>
        <v>0</v>
      </c>
      <c r="L45" s="2133">
        <f>IF(スコア!O45=0,0,1)</f>
        <v>0</v>
      </c>
      <c r="M45" s="2133">
        <f t="shared" si="29"/>
        <v>0</v>
      </c>
      <c r="N45" s="2133">
        <f t="shared" si="30"/>
        <v>0</v>
      </c>
      <c r="P45" s="2134" t="str">
        <f t="shared" si="6"/>
        <v>3.3.2</v>
      </c>
      <c r="Q45" s="2134" t="str">
        <f t="shared" si="7"/>
        <v xml:space="preserve"> Q1 3.3</v>
      </c>
      <c r="R45" s="2135" t="str">
        <f t="shared" si="31"/>
        <v>照度均斉度</v>
      </c>
      <c r="S45" s="2118">
        <f t="shared" si="32"/>
        <v>0</v>
      </c>
      <c r="T45" s="2118">
        <f t="shared" si="33"/>
        <v>0</v>
      </c>
      <c r="U45" s="2118">
        <f t="shared" si="34"/>
        <v>0</v>
      </c>
      <c r="V45" s="2118">
        <f t="shared" si="35"/>
        <v>0</v>
      </c>
      <c r="W45" s="2118">
        <f t="shared" si="36"/>
        <v>0</v>
      </c>
      <c r="X45" s="2118">
        <f t="shared" si="37"/>
        <v>0</v>
      </c>
      <c r="Y45" s="2118">
        <f t="shared" si="38"/>
        <v>0</v>
      </c>
      <c r="Z45" s="2136">
        <f t="shared" si="39"/>
        <v>0</v>
      </c>
      <c r="AA45" s="2118">
        <f t="shared" si="40"/>
        <v>0</v>
      </c>
      <c r="AB45" s="2118">
        <f t="shared" si="41"/>
        <v>0</v>
      </c>
      <c r="AC45" s="2137">
        <f t="shared" si="42"/>
        <v>0</v>
      </c>
      <c r="AD45" s="2118">
        <f t="shared" si="43"/>
        <v>0</v>
      </c>
      <c r="AE45" s="2118">
        <f t="shared" si="44"/>
        <v>0</v>
      </c>
      <c r="AG45" s="2134" t="s">
        <v>2296</v>
      </c>
      <c r="AH45" s="2138" t="s">
        <v>2792</v>
      </c>
      <c r="AI45" s="2139" t="s">
        <v>2963</v>
      </c>
      <c r="AJ45" s="2118"/>
      <c r="AK45" s="2118"/>
      <c r="AL45" s="2118"/>
      <c r="AM45" s="2118"/>
      <c r="AN45" s="2118"/>
      <c r="AO45" s="2118"/>
      <c r="AP45" s="2118"/>
      <c r="AQ45" s="2128"/>
      <c r="AR45" s="2118"/>
      <c r="AS45" s="2140"/>
      <c r="AT45" s="2142"/>
      <c r="AU45" s="2140"/>
      <c r="AV45" s="2140"/>
      <c r="AX45" s="2134" t="s">
        <v>2296</v>
      </c>
      <c r="AY45" s="2138" t="s">
        <v>2792</v>
      </c>
      <c r="AZ45" s="2139" t="s">
        <v>2963</v>
      </c>
      <c r="BA45" s="2140"/>
      <c r="BB45" s="2140"/>
      <c r="BC45" s="2140"/>
      <c r="BD45" s="2140"/>
      <c r="BE45" s="2140"/>
      <c r="BF45" s="2140"/>
      <c r="BG45" s="2140"/>
      <c r="BH45" s="2141"/>
      <c r="BI45" s="2140"/>
      <c r="BJ45" s="2140"/>
      <c r="BK45" s="2142"/>
      <c r="BL45" s="2140"/>
      <c r="BM45" s="2140"/>
      <c r="BO45" s="2134" t="s">
        <v>2296</v>
      </c>
      <c r="BP45" s="2138" t="s">
        <v>2792</v>
      </c>
      <c r="BQ45" s="2139" t="s">
        <v>2963</v>
      </c>
      <c r="BR45" s="2143"/>
      <c r="BS45" s="2143"/>
      <c r="BT45" s="2143"/>
      <c r="BU45" s="2143"/>
      <c r="BV45" s="2143"/>
      <c r="BW45" s="2143"/>
      <c r="BX45" s="2143"/>
      <c r="BY45" s="2144"/>
      <c r="BZ45" s="2143"/>
      <c r="CA45" s="2143"/>
      <c r="CB45" s="2145"/>
      <c r="CC45" s="2143"/>
      <c r="CD45" s="2143"/>
      <c r="CE45" s="2555"/>
    </row>
    <row r="46" spans="1:84">
      <c r="B46" s="2080">
        <f t="shared" si="45"/>
        <v>3.4</v>
      </c>
      <c r="C46" s="2125" t="str">
        <f t="shared" si="26"/>
        <v>照明制御</v>
      </c>
      <c r="D46" s="2104">
        <f>IF(I$34=0,0,G46/I$34)</f>
        <v>0.25</v>
      </c>
      <c r="E46" s="2105">
        <f>IF(J$34=0,0,H46/J$34)</f>
        <v>0</v>
      </c>
      <c r="G46" s="2105">
        <f t="shared" si="27"/>
        <v>0.25</v>
      </c>
      <c r="H46" s="2105">
        <f t="shared" si="28"/>
        <v>0</v>
      </c>
      <c r="I46" s="2105"/>
      <c r="J46" s="2105"/>
      <c r="K46" s="2105">
        <f>IF(スコア!M46=0,0,1)</f>
        <v>1</v>
      </c>
      <c r="L46" s="2105">
        <f>IF(スコア!O46=0,0,1)</f>
        <v>1</v>
      </c>
      <c r="M46" s="2105">
        <f t="shared" si="29"/>
        <v>0.25</v>
      </c>
      <c r="N46" s="2105">
        <f t="shared" si="30"/>
        <v>0</v>
      </c>
      <c r="P46" s="2106">
        <f t="shared" si="6"/>
        <v>3.4</v>
      </c>
      <c r="Q46" s="2106" t="str">
        <f t="shared" si="7"/>
        <v xml:space="preserve"> Q1 3</v>
      </c>
      <c r="R46" s="2107" t="str">
        <f t="shared" si="31"/>
        <v>照明制御</v>
      </c>
      <c r="S46" s="2108">
        <f t="shared" si="32"/>
        <v>0.25</v>
      </c>
      <c r="T46" s="2108">
        <f t="shared" si="33"/>
        <v>0.25</v>
      </c>
      <c r="U46" s="2108">
        <f t="shared" si="34"/>
        <v>0.5</v>
      </c>
      <c r="V46" s="2108">
        <f t="shared" si="35"/>
        <v>0</v>
      </c>
      <c r="W46" s="2108">
        <f t="shared" si="36"/>
        <v>0.25</v>
      </c>
      <c r="X46" s="2108">
        <f t="shared" si="37"/>
        <v>0.25</v>
      </c>
      <c r="Y46" s="2108">
        <f t="shared" si="38"/>
        <v>0.25</v>
      </c>
      <c r="Z46" s="2126">
        <f t="shared" si="39"/>
        <v>0</v>
      </c>
      <c r="AA46" s="2108">
        <f t="shared" si="40"/>
        <v>0.25</v>
      </c>
      <c r="AB46" s="2108">
        <f t="shared" si="41"/>
        <v>0.25</v>
      </c>
      <c r="AC46" s="2109">
        <f t="shared" si="42"/>
        <v>0.25</v>
      </c>
      <c r="AD46" s="2108">
        <f t="shared" si="43"/>
        <v>0.25</v>
      </c>
      <c r="AE46" s="2108">
        <f t="shared" si="44"/>
        <v>0.25</v>
      </c>
      <c r="AG46" s="2106">
        <v>3.4</v>
      </c>
      <c r="AH46" s="2110" t="s">
        <v>2783</v>
      </c>
      <c r="AI46" s="2107" t="s">
        <v>1081</v>
      </c>
      <c r="AJ46" s="2108">
        <v>0.25</v>
      </c>
      <c r="AK46" s="2108">
        <v>0.25</v>
      </c>
      <c r="AL46" s="2108">
        <v>0.5</v>
      </c>
      <c r="AM46" s="2108"/>
      <c r="AN46" s="2108">
        <v>0.25</v>
      </c>
      <c r="AO46" s="2108">
        <v>0.25</v>
      </c>
      <c r="AP46" s="2108">
        <v>0.25</v>
      </c>
      <c r="AQ46" s="2126"/>
      <c r="AR46" s="2108">
        <v>0.25</v>
      </c>
      <c r="AS46" s="2113">
        <v>0.25</v>
      </c>
      <c r="AT46" s="2114">
        <v>0.25</v>
      </c>
      <c r="AU46" s="2113">
        <v>0.25</v>
      </c>
      <c r="AV46" s="2113">
        <v>0.25</v>
      </c>
      <c r="AX46" s="2106">
        <v>3.4</v>
      </c>
      <c r="AY46" s="2110" t="s">
        <v>2783</v>
      </c>
      <c r="AZ46" s="2107" t="s">
        <v>1081</v>
      </c>
      <c r="BA46" s="2113">
        <v>0.25</v>
      </c>
      <c r="BB46" s="2113">
        <v>0.25</v>
      </c>
      <c r="BC46" s="2113">
        <v>0.5</v>
      </c>
      <c r="BD46" s="2113">
        <v>0</v>
      </c>
      <c r="BE46" s="2113">
        <v>0.25</v>
      </c>
      <c r="BF46" s="2113">
        <v>0.25</v>
      </c>
      <c r="BG46" s="2113">
        <v>0.25</v>
      </c>
      <c r="BH46" s="2115"/>
      <c r="BI46" s="2113">
        <v>0.25</v>
      </c>
      <c r="BJ46" s="2113">
        <v>0.25</v>
      </c>
      <c r="BK46" s="2114">
        <v>0.25</v>
      </c>
      <c r="BL46" s="2113">
        <v>0.25</v>
      </c>
      <c r="BM46" s="2113">
        <v>0.25</v>
      </c>
      <c r="BO46" s="2106">
        <v>3.4</v>
      </c>
      <c r="BP46" s="2110" t="s">
        <v>2783</v>
      </c>
      <c r="BQ46" s="2107" t="s">
        <v>1081</v>
      </c>
      <c r="BR46" s="2113">
        <v>0.25</v>
      </c>
      <c r="BS46" s="2113">
        <v>0.25</v>
      </c>
      <c r="BT46" s="2113">
        <v>0.5</v>
      </c>
      <c r="BU46" s="2113"/>
      <c r="BV46" s="2113">
        <v>0.25</v>
      </c>
      <c r="BW46" s="2113">
        <v>0.25</v>
      </c>
      <c r="BX46" s="2113">
        <v>0.25</v>
      </c>
      <c r="BY46" s="2115"/>
      <c r="BZ46" s="2113">
        <v>0.25</v>
      </c>
      <c r="CA46" s="2113">
        <v>0.25</v>
      </c>
      <c r="CB46" s="2114">
        <v>0.25</v>
      </c>
      <c r="CC46" s="2113">
        <v>0.25</v>
      </c>
      <c r="CD46" s="2113">
        <v>0.25</v>
      </c>
      <c r="CE46" s="2554"/>
    </row>
    <row r="47" spans="1:84" s="1485" customFormat="1">
      <c r="A47"/>
      <c r="B47" s="2080">
        <f t="shared" si="45"/>
        <v>4</v>
      </c>
      <c r="C47" s="2121" t="str">
        <f t="shared" si="26"/>
        <v>空気質環境</v>
      </c>
      <c r="D47" s="2091">
        <f>IF(I$9=0,0,G47/I$9)</f>
        <v>0.25</v>
      </c>
      <c r="E47" s="2092">
        <f>IF(J$9=0,0,H47/J$9)</f>
        <v>0</v>
      </c>
      <c r="F47"/>
      <c r="G47" s="2092">
        <f t="shared" si="27"/>
        <v>0.25</v>
      </c>
      <c r="H47" s="2092">
        <f t="shared" si="28"/>
        <v>0</v>
      </c>
      <c r="I47" s="2092">
        <f>G48+G53+G58</f>
        <v>1</v>
      </c>
      <c r="J47" s="2092">
        <f>H48+H53+H58</f>
        <v>0</v>
      </c>
      <c r="K47" s="2092">
        <f>IF(スコア!M47=0,0,1)</f>
        <v>1</v>
      </c>
      <c r="L47" s="2092">
        <f>IF(スコア!O47=0,0,1)</f>
        <v>0</v>
      </c>
      <c r="M47" s="2092">
        <f t="shared" si="29"/>
        <v>0.25</v>
      </c>
      <c r="N47" s="2092">
        <f t="shared" si="30"/>
        <v>0</v>
      </c>
      <c r="O47"/>
      <c r="P47" s="2094">
        <f t="shared" si="6"/>
        <v>4</v>
      </c>
      <c r="Q47" s="2094" t="str">
        <f t="shared" si="7"/>
        <v xml:space="preserve"> Q1</v>
      </c>
      <c r="R47" s="2095" t="str">
        <f t="shared" si="31"/>
        <v>空気質環境</v>
      </c>
      <c r="S47" s="2096">
        <f t="shared" si="32"/>
        <v>0.25</v>
      </c>
      <c r="T47" s="2096">
        <f t="shared" si="33"/>
        <v>0.25</v>
      </c>
      <c r="U47" s="2096">
        <f t="shared" si="34"/>
        <v>0.25</v>
      </c>
      <c r="V47" s="2096">
        <f t="shared" si="35"/>
        <v>0.25</v>
      </c>
      <c r="W47" s="2096">
        <f t="shared" si="36"/>
        <v>0.25</v>
      </c>
      <c r="X47" s="2096">
        <f t="shared" si="37"/>
        <v>0.25</v>
      </c>
      <c r="Y47" s="2096">
        <f t="shared" si="38"/>
        <v>0.25</v>
      </c>
      <c r="Z47" s="2122">
        <f t="shared" si="39"/>
        <v>0.33</v>
      </c>
      <c r="AA47" s="2096">
        <f t="shared" si="40"/>
        <v>0.25</v>
      </c>
      <c r="AB47" s="2096">
        <f t="shared" si="41"/>
        <v>0.25</v>
      </c>
      <c r="AC47" s="2098">
        <f t="shared" si="42"/>
        <v>0</v>
      </c>
      <c r="AD47" s="2096">
        <f t="shared" si="43"/>
        <v>0</v>
      </c>
      <c r="AE47" s="2096">
        <f t="shared" si="44"/>
        <v>0</v>
      </c>
      <c r="AF47"/>
      <c r="AG47" s="2094">
        <v>4</v>
      </c>
      <c r="AH47" s="2099" t="s">
        <v>1039</v>
      </c>
      <c r="AI47" s="2123" t="s">
        <v>91</v>
      </c>
      <c r="AJ47" s="2146">
        <v>0.25</v>
      </c>
      <c r="AK47" s="2146">
        <v>0.25</v>
      </c>
      <c r="AL47" s="2146">
        <v>0.25</v>
      </c>
      <c r="AM47" s="2146">
        <v>0.25</v>
      </c>
      <c r="AN47" s="2146">
        <v>0.25</v>
      </c>
      <c r="AO47" s="2146">
        <v>0.25</v>
      </c>
      <c r="AP47" s="2146">
        <v>0.25</v>
      </c>
      <c r="AQ47" s="2124">
        <v>0.33</v>
      </c>
      <c r="AR47" s="2146">
        <v>0.25</v>
      </c>
      <c r="AS47" s="2100">
        <v>0.25</v>
      </c>
      <c r="AT47" s="2101"/>
      <c r="AU47" s="2100"/>
      <c r="AV47" s="2100"/>
      <c r="AW47"/>
      <c r="AX47" s="2094">
        <v>4</v>
      </c>
      <c r="AY47" s="2099" t="s">
        <v>1039</v>
      </c>
      <c r="AZ47" s="2123" t="s">
        <v>91</v>
      </c>
      <c r="BA47" s="2100">
        <v>0.25</v>
      </c>
      <c r="BB47" s="2100">
        <v>0.25</v>
      </c>
      <c r="BC47" s="2100">
        <v>0.25</v>
      </c>
      <c r="BD47" s="2100">
        <v>0.25</v>
      </c>
      <c r="BE47" s="2100">
        <v>0.25</v>
      </c>
      <c r="BF47" s="2100">
        <v>0.25</v>
      </c>
      <c r="BG47" s="2100">
        <v>0.25</v>
      </c>
      <c r="BH47" s="2124">
        <v>0.33</v>
      </c>
      <c r="BI47" s="2100">
        <v>0.25</v>
      </c>
      <c r="BJ47" s="2100">
        <v>0.25</v>
      </c>
      <c r="BK47" s="2101"/>
      <c r="BL47" s="2100"/>
      <c r="BM47" s="2100"/>
      <c r="BN47"/>
      <c r="BO47" s="2094">
        <v>4</v>
      </c>
      <c r="BP47" s="2099" t="s">
        <v>1039</v>
      </c>
      <c r="BQ47" s="2123" t="s">
        <v>91</v>
      </c>
      <c r="BR47" s="2146">
        <v>0.25</v>
      </c>
      <c r="BS47" s="2146">
        <v>0.25</v>
      </c>
      <c r="BT47" s="2146">
        <v>0.25</v>
      </c>
      <c r="BU47" s="2146">
        <v>0.25</v>
      </c>
      <c r="BV47" s="2146">
        <v>0.25</v>
      </c>
      <c r="BW47" s="2146">
        <v>0.25</v>
      </c>
      <c r="BX47" s="2146">
        <v>0.25</v>
      </c>
      <c r="BY47" s="2124">
        <v>0.33</v>
      </c>
      <c r="BZ47" s="2146">
        <v>0.25</v>
      </c>
      <c r="CA47" s="2146">
        <v>0.25</v>
      </c>
      <c r="CB47" s="2147"/>
      <c r="CC47" s="2146"/>
      <c r="CD47" s="2146"/>
      <c r="CE47" s="2556"/>
      <c r="CF47"/>
    </row>
    <row r="48" spans="1:84">
      <c r="B48" s="2080">
        <f t="shared" si="45"/>
        <v>4.0999999999999996</v>
      </c>
      <c r="C48" s="2125" t="str">
        <f t="shared" si="26"/>
        <v>発生源対策</v>
      </c>
      <c r="D48" s="2104">
        <f>IF(I$47=0,0,G48/I$47)</f>
        <v>0.5</v>
      </c>
      <c r="E48" s="2105">
        <f>IF(J$47=0,0,H48/J$47)</f>
        <v>0</v>
      </c>
      <c r="G48" s="2105">
        <f t="shared" si="27"/>
        <v>0.5</v>
      </c>
      <c r="H48" s="2105">
        <f t="shared" si="28"/>
        <v>0</v>
      </c>
      <c r="I48" s="2105">
        <f>SUM(G49:G52)</f>
        <v>0.33333333333333331</v>
      </c>
      <c r="J48" s="2105">
        <f>SUM(H49:H52)</f>
        <v>0</v>
      </c>
      <c r="K48" s="2105">
        <f>IF(スコア!M48=0,0,1)</f>
        <v>1</v>
      </c>
      <c r="L48" s="2105">
        <f>IF(スコア!O48=0,0,1)</f>
        <v>0</v>
      </c>
      <c r="M48" s="2105">
        <f t="shared" si="29"/>
        <v>0.5</v>
      </c>
      <c r="N48" s="2105">
        <f t="shared" si="30"/>
        <v>0</v>
      </c>
      <c r="P48" s="2106">
        <f t="shared" si="6"/>
        <v>4.0999999999999996</v>
      </c>
      <c r="Q48" s="2106" t="str">
        <f t="shared" si="7"/>
        <v xml:space="preserve"> Q1 4</v>
      </c>
      <c r="R48" s="2107" t="str">
        <f t="shared" si="31"/>
        <v>発生源対策</v>
      </c>
      <c r="S48" s="2108">
        <f t="shared" si="32"/>
        <v>0.5</v>
      </c>
      <c r="T48" s="2108">
        <f t="shared" si="33"/>
        <v>0.5</v>
      </c>
      <c r="U48" s="2108">
        <f t="shared" si="34"/>
        <v>0.5</v>
      </c>
      <c r="V48" s="2108">
        <f t="shared" si="35"/>
        <v>0.5</v>
      </c>
      <c r="W48" s="2108">
        <f t="shared" si="36"/>
        <v>0.5</v>
      </c>
      <c r="X48" s="2108">
        <f t="shared" si="37"/>
        <v>0.5</v>
      </c>
      <c r="Y48" s="2108">
        <f t="shared" si="38"/>
        <v>0.6</v>
      </c>
      <c r="Z48" s="2117">
        <f t="shared" si="39"/>
        <v>0.5</v>
      </c>
      <c r="AA48" s="2108">
        <f t="shared" si="40"/>
        <v>0.5</v>
      </c>
      <c r="AB48" s="2108">
        <f t="shared" si="41"/>
        <v>0.5</v>
      </c>
      <c r="AC48" s="2109">
        <f t="shared" si="42"/>
        <v>0.625</v>
      </c>
      <c r="AD48" s="2108">
        <f t="shared" si="43"/>
        <v>0.625</v>
      </c>
      <c r="AE48" s="2108">
        <f t="shared" si="44"/>
        <v>0.625</v>
      </c>
      <c r="AG48" s="2106">
        <v>4.0999999999999996</v>
      </c>
      <c r="AH48" s="2110" t="s">
        <v>2793</v>
      </c>
      <c r="AI48" s="2107" t="s">
        <v>1083</v>
      </c>
      <c r="AJ48" s="2148">
        <v>0.5</v>
      </c>
      <c r="AK48" s="2148">
        <v>0.5</v>
      </c>
      <c r="AL48" s="2148">
        <v>0.5</v>
      </c>
      <c r="AM48" s="2148">
        <v>0.5</v>
      </c>
      <c r="AN48" s="2148">
        <v>0.5</v>
      </c>
      <c r="AO48" s="2148">
        <v>0.5</v>
      </c>
      <c r="AP48" s="2148">
        <v>0.6</v>
      </c>
      <c r="AQ48" s="2149">
        <v>0.5</v>
      </c>
      <c r="AR48" s="2148">
        <v>0.5</v>
      </c>
      <c r="AS48" s="2113">
        <v>0.5</v>
      </c>
      <c r="AT48" s="2114">
        <v>0.625</v>
      </c>
      <c r="AU48" s="2113">
        <v>0.625</v>
      </c>
      <c r="AV48" s="2113">
        <v>0.625</v>
      </c>
      <c r="AX48" s="2106">
        <v>4.0999999999999996</v>
      </c>
      <c r="AY48" s="2110" t="s">
        <v>2793</v>
      </c>
      <c r="AZ48" s="2107" t="s">
        <v>1083</v>
      </c>
      <c r="BA48" s="2113">
        <v>0.5</v>
      </c>
      <c r="BB48" s="2113">
        <v>0.5</v>
      </c>
      <c r="BC48" s="2113">
        <v>0.5</v>
      </c>
      <c r="BD48" s="2113">
        <v>0.5</v>
      </c>
      <c r="BE48" s="2113">
        <v>0.5</v>
      </c>
      <c r="BF48" s="2113">
        <v>0.5</v>
      </c>
      <c r="BG48" s="2113">
        <v>0.6</v>
      </c>
      <c r="BH48" s="2120">
        <v>0.5</v>
      </c>
      <c r="BI48" s="2113">
        <v>0.5</v>
      </c>
      <c r="BJ48" s="2113">
        <v>0.5</v>
      </c>
      <c r="BK48" s="2114">
        <v>0.625</v>
      </c>
      <c r="BL48" s="2113">
        <v>0.625</v>
      </c>
      <c r="BM48" s="2113">
        <v>0.625</v>
      </c>
      <c r="BO48" s="2106">
        <v>4.0999999999999996</v>
      </c>
      <c r="BP48" s="2110" t="s">
        <v>2793</v>
      </c>
      <c r="BQ48" s="2107" t="s">
        <v>1083</v>
      </c>
      <c r="BR48" s="2148">
        <v>0.5</v>
      </c>
      <c r="BS48" s="2148">
        <v>0.5</v>
      </c>
      <c r="BT48" s="2148">
        <v>0.5</v>
      </c>
      <c r="BU48" s="2148">
        <v>0.5</v>
      </c>
      <c r="BV48" s="2148">
        <v>0.5</v>
      </c>
      <c r="BW48" s="2148">
        <v>0.5</v>
      </c>
      <c r="BX48" s="2148">
        <v>0.6</v>
      </c>
      <c r="BY48" s="2149">
        <v>0.5</v>
      </c>
      <c r="BZ48" s="2148">
        <v>0.5</v>
      </c>
      <c r="CA48" s="2148">
        <v>0.5</v>
      </c>
      <c r="CB48" s="2150">
        <v>0.625</v>
      </c>
      <c r="CC48" s="2148">
        <v>0.625</v>
      </c>
      <c r="CD48" s="2148">
        <v>0.625</v>
      </c>
      <c r="CE48" s="2555"/>
    </row>
    <row r="49" spans="1:84">
      <c r="B49" s="2080" t="str">
        <f t="shared" si="45"/>
        <v>4.1.1</v>
      </c>
      <c r="C49" s="2125" t="str">
        <f t="shared" si="26"/>
        <v xml:space="preserve"> 化学汚染物質</v>
      </c>
      <c r="D49" s="2093">
        <f t="shared" ref="D49:E52" si="46">IF(I$48&gt;0,G49/I$48,0)</f>
        <v>1</v>
      </c>
      <c r="E49" s="2105">
        <f t="shared" si="46"/>
        <v>0</v>
      </c>
      <c r="G49" s="2105">
        <f t="shared" si="27"/>
        <v>0.33333333333333331</v>
      </c>
      <c r="H49" s="2105">
        <f t="shared" si="28"/>
        <v>0</v>
      </c>
      <c r="I49" s="2105"/>
      <c r="J49" s="2105"/>
      <c r="K49" s="2105">
        <f>IF(スコア!M49=0,0,1)</f>
        <v>1</v>
      </c>
      <c r="L49" s="2105">
        <f>IF(スコア!O49=0,0,1)</f>
        <v>1</v>
      </c>
      <c r="M49" s="2105">
        <f t="shared" si="29"/>
        <v>0.33333333333333331</v>
      </c>
      <c r="N49" s="2105">
        <f t="shared" si="30"/>
        <v>0</v>
      </c>
      <c r="P49" s="2106" t="str">
        <f t="shared" si="6"/>
        <v>4.1.1</v>
      </c>
      <c r="Q49" s="2106" t="str">
        <f t="shared" si="7"/>
        <v xml:space="preserve"> Q1 4.1</v>
      </c>
      <c r="R49" s="2107" t="str">
        <f t="shared" si="31"/>
        <v xml:space="preserve"> 化学汚染物質</v>
      </c>
      <c r="S49" s="2108">
        <f t="shared" si="32"/>
        <v>0.33333333333333331</v>
      </c>
      <c r="T49" s="2108">
        <f t="shared" si="33"/>
        <v>0.33333333333333331</v>
      </c>
      <c r="U49" s="2108">
        <f t="shared" si="34"/>
        <v>0.33333333333333331</v>
      </c>
      <c r="V49" s="2108">
        <f t="shared" si="35"/>
        <v>0.33333333333333331</v>
      </c>
      <c r="W49" s="2108">
        <f t="shared" si="36"/>
        <v>0.33333333333333331</v>
      </c>
      <c r="X49" s="2108">
        <f t="shared" si="37"/>
        <v>0.5</v>
      </c>
      <c r="Y49" s="2108">
        <f t="shared" si="38"/>
        <v>0.5</v>
      </c>
      <c r="Z49" s="2117">
        <f t="shared" si="39"/>
        <v>0.33333333333333331</v>
      </c>
      <c r="AA49" s="2108">
        <f t="shared" si="40"/>
        <v>0.33333333333333331</v>
      </c>
      <c r="AB49" s="2108">
        <f t="shared" si="41"/>
        <v>0.33333333333333331</v>
      </c>
      <c r="AC49" s="2109">
        <f t="shared" si="42"/>
        <v>0.33333333333333331</v>
      </c>
      <c r="AD49" s="2108">
        <f t="shared" si="43"/>
        <v>0.33333333333333331</v>
      </c>
      <c r="AE49" s="2108">
        <f t="shared" si="44"/>
        <v>0.33333333333333331</v>
      </c>
      <c r="AG49" s="2106" t="s">
        <v>2964</v>
      </c>
      <c r="AH49" s="2110" t="s">
        <v>2794</v>
      </c>
      <c r="AI49" s="2111" t="s">
        <v>2795</v>
      </c>
      <c r="AJ49" s="2148">
        <v>0.25</v>
      </c>
      <c r="AK49" s="2148">
        <v>0.25</v>
      </c>
      <c r="AL49" s="2148">
        <v>0.25</v>
      </c>
      <c r="AM49" s="2148">
        <v>0.25</v>
      </c>
      <c r="AN49" s="2151">
        <v>0.25</v>
      </c>
      <c r="AO49" s="2151">
        <v>0.33</v>
      </c>
      <c r="AP49" s="2151">
        <v>0.33</v>
      </c>
      <c r="AQ49" s="2149">
        <v>0.25</v>
      </c>
      <c r="AR49" s="2148">
        <v>0.25</v>
      </c>
      <c r="AS49" s="2113">
        <v>0.25</v>
      </c>
      <c r="AT49" s="2114">
        <v>0.25</v>
      </c>
      <c r="AU49" s="2113">
        <v>0.25</v>
      </c>
      <c r="AV49" s="2113">
        <v>0.25</v>
      </c>
      <c r="AX49" s="2106" t="s">
        <v>2964</v>
      </c>
      <c r="AY49" s="2110" t="s">
        <v>2794</v>
      </c>
      <c r="AZ49" s="2111" t="s">
        <v>2795</v>
      </c>
      <c r="BA49" s="2113">
        <v>1</v>
      </c>
      <c r="BB49" s="2113">
        <v>1</v>
      </c>
      <c r="BC49" s="2113">
        <v>1</v>
      </c>
      <c r="BD49" s="2113">
        <v>1</v>
      </c>
      <c r="BE49" s="2113">
        <v>1</v>
      </c>
      <c r="BF49" s="2113">
        <v>1</v>
      </c>
      <c r="BG49" s="2113">
        <v>1</v>
      </c>
      <c r="BH49" s="2120">
        <v>1</v>
      </c>
      <c r="BI49" s="2113">
        <v>1</v>
      </c>
      <c r="BJ49" s="2113">
        <v>1</v>
      </c>
      <c r="BK49" s="2114">
        <v>1</v>
      </c>
      <c r="BL49" s="2113">
        <v>1</v>
      </c>
      <c r="BM49" s="2113">
        <v>1</v>
      </c>
      <c r="BO49" s="2106" t="s">
        <v>2964</v>
      </c>
      <c r="BP49" s="2110" t="s">
        <v>2794</v>
      </c>
      <c r="BQ49" s="2111" t="s">
        <v>2795</v>
      </c>
      <c r="BR49" s="2148">
        <v>0.33333333333333331</v>
      </c>
      <c r="BS49" s="2148">
        <v>0.33333333333333331</v>
      </c>
      <c r="BT49" s="2148">
        <v>0.33333333333333331</v>
      </c>
      <c r="BU49" s="2148">
        <v>0.33333333333333331</v>
      </c>
      <c r="BV49" s="2148">
        <v>0.33333333333333331</v>
      </c>
      <c r="BW49" s="2148">
        <v>0.5</v>
      </c>
      <c r="BX49" s="2148">
        <v>0.5</v>
      </c>
      <c r="BY49" s="2148">
        <v>0.33333333333333331</v>
      </c>
      <c r="BZ49" s="2148">
        <v>0.33333333333333331</v>
      </c>
      <c r="CA49" s="2148">
        <v>0.33333333333333331</v>
      </c>
      <c r="CB49" s="2148">
        <v>0.33333333333333331</v>
      </c>
      <c r="CC49" s="2148">
        <v>0.33333333333333331</v>
      </c>
      <c r="CD49" s="2148">
        <v>0.33333333333333331</v>
      </c>
      <c r="CE49" s="2555"/>
    </row>
    <row r="50" spans="1:84">
      <c r="B50" s="2080" t="str">
        <f t="shared" si="45"/>
        <v>4.1.2</v>
      </c>
      <c r="C50" s="2131" t="str">
        <f t="shared" si="26"/>
        <v xml:space="preserve"> アスベスト対策</v>
      </c>
      <c r="D50" s="2132">
        <f t="shared" si="46"/>
        <v>0</v>
      </c>
      <c r="E50" s="2133">
        <f t="shared" si="46"/>
        <v>0</v>
      </c>
      <c r="G50" s="2133">
        <f t="shared" si="27"/>
        <v>0</v>
      </c>
      <c r="H50" s="2133">
        <f t="shared" si="28"/>
        <v>0</v>
      </c>
      <c r="I50" s="2133"/>
      <c r="J50" s="2133"/>
      <c r="K50" s="2133">
        <f>IF(スコア!M50=0,0,1)</f>
        <v>0</v>
      </c>
      <c r="L50" s="2133">
        <f>IF(スコア!O50=0,0,1)</f>
        <v>0</v>
      </c>
      <c r="M50" s="2133">
        <f t="shared" si="29"/>
        <v>0</v>
      </c>
      <c r="N50" s="2133">
        <f t="shared" si="30"/>
        <v>0</v>
      </c>
      <c r="P50" s="2134" t="str">
        <f t="shared" si="6"/>
        <v>4.1.2</v>
      </c>
      <c r="Q50" s="2134" t="str">
        <f t="shared" si="7"/>
        <v xml:space="preserve"> Q1 4.1</v>
      </c>
      <c r="R50" s="2135" t="str">
        <f t="shared" si="31"/>
        <v xml:space="preserve"> アスベスト対策</v>
      </c>
      <c r="S50" s="2118">
        <f t="shared" si="32"/>
        <v>0</v>
      </c>
      <c r="T50" s="2118">
        <f t="shared" si="33"/>
        <v>0</v>
      </c>
      <c r="U50" s="2118">
        <f t="shared" si="34"/>
        <v>0</v>
      </c>
      <c r="V50" s="2118">
        <f t="shared" si="35"/>
        <v>0</v>
      </c>
      <c r="W50" s="2118">
        <f t="shared" si="36"/>
        <v>0</v>
      </c>
      <c r="X50" s="2118">
        <f t="shared" si="37"/>
        <v>0</v>
      </c>
      <c r="Y50" s="2118">
        <f t="shared" si="38"/>
        <v>0</v>
      </c>
      <c r="Z50" s="2136">
        <f t="shared" si="39"/>
        <v>0</v>
      </c>
      <c r="AA50" s="2118">
        <f t="shared" si="40"/>
        <v>0</v>
      </c>
      <c r="AB50" s="2118">
        <f t="shared" si="41"/>
        <v>0</v>
      </c>
      <c r="AC50" s="2137">
        <f t="shared" si="42"/>
        <v>0</v>
      </c>
      <c r="AD50" s="2118">
        <f t="shared" si="43"/>
        <v>0</v>
      </c>
      <c r="AE50" s="2118">
        <f t="shared" si="44"/>
        <v>0</v>
      </c>
      <c r="AG50" s="2106" t="s">
        <v>2965</v>
      </c>
      <c r="AH50" s="2110" t="s">
        <v>2794</v>
      </c>
      <c r="AI50" s="2111" t="s">
        <v>2966</v>
      </c>
      <c r="AJ50" s="2148">
        <v>0.25</v>
      </c>
      <c r="AK50" s="2148">
        <v>0.25</v>
      </c>
      <c r="AL50" s="2148">
        <v>0.25</v>
      </c>
      <c r="AM50" s="2148">
        <v>0.25</v>
      </c>
      <c r="AN50" s="2151">
        <v>0.25</v>
      </c>
      <c r="AO50" s="2151">
        <v>0.33</v>
      </c>
      <c r="AP50" s="2151">
        <v>0.33</v>
      </c>
      <c r="AQ50" s="2149">
        <v>0.25</v>
      </c>
      <c r="AR50" s="2148">
        <v>0.25</v>
      </c>
      <c r="AS50" s="2113">
        <v>0.25</v>
      </c>
      <c r="AT50" s="2114">
        <v>0.25</v>
      </c>
      <c r="AU50" s="2113">
        <v>0.25</v>
      </c>
      <c r="AV50" s="2113">
        <v>0.25</v>
      </c>
      <c r="AX50" s="2134" t="s">
        <v>2965</v>
      </c>
      <c r="AY50" s="2138" t="s">
        <v>2794</v>
      </c>
      <c r="AZ50" s="2139" t="s">
        <v>2966</v>
      </c>
      <c r="BA50" s="2140"/>
      <c r="BB50" s="2140"/>
      <c r="BC50" s="2140"/>
      <c r="BD50" s="2140"/>
      <c r="BE50" s="2140"/>
      <c r="BF50" s="2140"/>
      <c r="BG50" s="2140"/>
      <c r="BH50" s="2141"/>
      <c r="BI50" s="2140"/>
      <c r="BJ50" s="2140"/>
      <c r="BK50" s="2142"/>
      <c r="BL50" s="2140"/>
      <c r="BM50" s="2140"/>
      <c r="BO50" s="2134" t="s">
        <v>2965</v>
      </c>
      <c r="BP50" s="2138" t="s">
        <v>2794</v>
      </c>
      <c r="BQ50" s="2139" t="s">
        <v>2966</v>
      </c>
      <c r="BR50" s="2143"/>
      <c r="BS50" s="2143"/>
      <c r="BT50" s="2143"/>
      <c r="BU50" s="2143"/>
      <c r="BV50" s="2143"/>
      <c r="BW50" s="2143"/>
      <c r="BX50" s="2143"/>
      <c r="BY50" s="2144"/>
      <c r="BZ50" s="2143"/>
      <c r="CA50" s="2143"/>
      <c r="CB50" s="2145"/>
      <c r="CC50" s="2143"/>
      <c r="CD50" s="2143"/>
      <c r="CE50" s="2555"/>
    </row>
    <row r="51" spans="1:84" hidden="1">
      <c r="B51" s="2080" t="str">
        <f t="shared" si="45"/>
        <v>4.1.3</v>
      </c>
      <c r="C51" s="2125" t="str">
        <f t="shared" si="26"/>
        <v xml:space="preserve"> ダニ・カビ等</v>
      </c>
      <c r="D51" s="2093">
        <f t="shared" si="46"/>
        <v>0</v>
      </c>
      <c r="E51" s="2105">
        <f t="shared" si="46"/>
        <v>0</v>
      </c>
      <c r="G51" s="2105">
        <f t="shared" si="27"/>
        <v>0</v>
      </c>
      <c r="H51" s="2105">
        <f t="shared" si="28"/>
        <v>0</v>
      </c>
      <c r="I51" s="2105"/>
      <c r="J51" s="2105"/>
      <c r="K51" s="2105">
        <f>IF(スコア!M51=0,0,1)</f>
        <v>0</v>
      </c>
      <c r="L51" s="2105">
        <f>IF(スコア!O51=0,0,1)</f>
        <v>0</v>
      </c>
      <c r="M51" s="2105">
        <f t="shared" si="29"/>
        <v>0.33333333333333331</v>
      </c>
      <c r="N51" s="2105">
        <f t="shared" si="30"/>
        <v>0</v>
      </c>
      <c r="P51" s="2106" t="str">
        <f t="shared" si="6"/>
        <v>4.1.3</v>
      </c>
      <c r="Q51" s="2106" t="str">
        <f t="shared" si="7"/>
        <v xml:space="preserve"> Q1 4.1</v>
      </c>
      <c r="R51" s="2107" t="str">
        <f t="shared" si="31"/>
        <v xml:space="preserve"> ダニ・カビ等</v>
      </c>
      <c r="S51" s="2108">
        <f t="shared" si="32"/>
        <v>0.33333333333333331</v>
      </c>
      <c r="T51" s="2108">
        <f t="shared" si="33"/>
        <v>0.33333333333333331</v>
      </c>
      <c r="U51" s="2108">
        <f t="shared" si="34"/>
        <v>0.33333333333333331</v>
      </c>
      <c r="V51" s="2108">
        <f t="shared" si="35"/>
        <v>0.33333333333333331</v>
      </c>
      <c r="W51" s="2108">
        <f t="shared" si="36"/>
        <v>0.33333333333333331</v>
      </c>
      <c r="X51" s="2108">
        <f t="shared" si="37"/>
        <v>0.5</v>
      </c>
      <c r="Y51" s="2108">
        <f t="shared" si="38"/>
        <v>0.5</v>
      </c>
      <c r="Z51" s="2117">
        <f t="shared" si="39"/>
        <v>0.33333333333333331</v>
      </c>
      <c r="AA51" s="2108">
        <f t="shared" si="40"/>
        <v>0.33333333333333331</v>
      </c>
      <c r="AB51" s="2108">
        <f t="shared" si="41"/>
        <v>0.33333333333333331</v>
      </c>
      <c r="AC51" s="2109">
        <f t="shared" si="42"/>
        <v>0.33333333333333331</v>
      </c>
      <c r="AD51" s="2108">
        <f t="shared" si="43"/>
        <v>0.33333333333333331</v>
      </c>
      <c r="AE51" s="2108">
        <f t="shared" si="44"/>
        <v>0.33333333333333331</v>
      </c>
      <c r="AG51" s="2106" t="s">
        <v>2967</v>
      </c>
      <c r="AH51" s="2110" t="s">
        <v>2794</v>
      </c>
      <c r="AI51" s="2111" t="s">
        <v>2796</v>
      </c>
      <c r="AJ51" s="2143">
        <v>0.25</v>
      </c>
      <c r="AK51" s="2143">
        <v>0.25</v>
      </c>
      <c r="AL51" s="2143">
        <v>0.25</v>
      </c>
      <c r="AM51" s="2143">
        <v>0.25</v>
      </c>
      <c r="AN51" s="2152">
        <v>0.25</v>
      </c>
      <c r="AO51" s="2152">
        <v>0.33</v>
      </c>
      <c r="AP51" s="2152">
        <v>0.33</v>
      </c>
      <c r="AQ51" s="2144">
        <v>0.25</v>
      </c>
      <c r="AR51" s="2143">
        <v>0.25</v>
      </c>
      <c r="AS51" s="2113">
        <v>0.25</v>
      </c>
      <c r="AT51" s="2114">
        <v>0.25</v>
      </c>
      <c r="AU51" s="2113">
        <v>0.25</v>
      </c>
      <c r="AV51" s="2113">
        <v>0.25</v>
      </c>
      <c r="AX51" s="2106" t="s">
        <v>2967</v>
      </c>
      <c r="AY51" s="2110" t="s">
        <v>2794</v>
      </c>
      <c r="AZ51" s="2111" t="s">
        <v>2796</v>
      </c>
      <c r="BA51" s="2113"/>
      <c r="BB51" s="2113"/>
      <c r="BC51" s="2113"/>
      <c r="BD51" s="2113"/>
      <c r="BE51" s="2113"/>
      <c r="BF51" s="2113"/>
      <c r="BG51" s="2113"/>
      <c r="BH51" s="2120"/>
      <c r="BI51" s="2113"/>
      <c r="BJ51" s="2113"/>
      <c r="BK51" s="2114"/>
      <c r="BL51" s="2113"/>
      <c r="BM51" s="2113"/>
      <c r="BO51" s="2106" t="s">
        <v>2967</v>
      </c>
      <c r="BP51" s="2110" t="s">
        <v>2794</v>
      </c>
      <c r="BQ51" s="2111" t="s">
        <v>2796</v>
      </c>
      <c r="BR51" s="2148">
        <v>0.33333333333333331</v>
      </c>
      <c r="BS51" s="2148">
        <v>0.33333333333333331</v>
      </c>
      <c r="BT51" s="2148">
        <v>0.33333333333333331</v>
      </c>
      <c r="BU51" s="2148">
        <v>0.33333333333333331</v>
      </c>
      <c r="BV51" s="2148">
        <v>0.33333333333333331</v>
      </c>
      <c r="BW51" s="2148">
        <v>0.5</v>
      </c>
      <c r="BX51" s="2148">
        <v>0.5</v>
      </c>
      <c r="BY51" s="2148">
        <v>0.33333333333333331</v>
      </c>
      <c r="BZ51" s="2148">
        <v>0.33333333333333331</v>
      </c>
      <c r="CA51" s="2148">
        <v>0.33333333333333331</v>
      </c>
      <c r="CB51" s="2148">
        <v>0.33333333333333331</v>
      </c>
      <c r="CC51" s="2148">
        <v>0.33333333333333331</v>
      </c>
      <c r="CD51" s="2148">
        <v>0.33333333333333331</v>
      </c>
      <c r="CE51" s="2555"/>
    </row>
    <row r="52" spans="1:84" hidden="1">
      <c r="B52" s="2080" t="str">
        <f t="shared" si="45"/>
        <v>4.1.4</v>
      </c>
      <c r="C52" s="2103" t="str">
        <f t="shared" si="26"/>
        <v xml:space="preserve"> レジオネラ対策</v>
      </c>
      <c r="D52" s="2093">
        <f t="shared" si="46"/>
        <v>0</v>
      </c>
      <c r="E52" s="2105">
        <f t="shared" si="46"/>
        <v>0</v>
      </c>
      <c r="G52" s="2105">
        <f t="shared" si="27"/>
        <v>0</v>
      </c>
      <c r="H52" s="2105">
        <f t="shared" si="28"/>
        <v>0</v>
      </c>
      <c r="I52" s="2105"/>
      <c r="J52" s="2105"/>
      <c r="K52" s="2105">
        <f>IF(スコア!M52=0,0,1)</f>
        <v>0</v>
      </c>
      <c r="L52" s="2105">
        <f>IF(スコア!O52=0,0,1)</f>
        <v>0</v>
      </c>
      <c r="M52" s="2105">
        <f t="shared" si="29"/>
        <v>0.33333333333333331</v>
      </c>
      <c r="N52" s="2105">
        <f t="shared" si="30"/>
        <v>0</v>
      </c>
      <c r="P52" s="2106" t="str">
        <f t="shared" si="6"/>
        <v>4.1.4</v>
      </c>
      <c r="Q52" s="2106" t="str">
        <f t="shared" si="7"/>
        <v xml:space="preserve"> Q1 4.1</v>
      </c>
      <c r="R52" s="2107" t="str">
        <f t="shared" si="31"/>
        <v xml:space="preserve"> レジオネラ対策</v>
      </c>
      <c r="S52" s="2108">
        <f t="shared" si="32"/>
        <v>0.33333333333333331</v>
      </c>
      <c r="T52" s="2108">
        <f t="shared" si="33"/>
        <v>0.33333333333333331</v>
      </c>
      <c r="U52" s="2108">
        <f t="shared" si="34"/>
        <v>0.33333333333333331</v>
      </c>
      <c r="V52" s="2108">
        <f t="shared" si="35"/>
        <v>0.33333333333333331</v>
      </c>
      <c r="W52" s="2108">
        <f t="shared" si="36"/>
        <v>0.33333333333333331</v>
      </c>
      <c r="X52" s="2108">
        <f t="shared" si="37"/>
        <v>0</v>
      </c>
      <c r="Y52" s="2108">
        <f t="shared" si="38"/>
        <v>0</v>
      </c>
      <c r="Z52" s="2117">
        <f t="shared" si="39"/>
        <v>0.33333333333333331</v>
      </c>
      <c r="AA52" s="2108">
        <f t="shared" si="40"/>
        <v>0.33333333333333331</v>
      </c>
      <c r="AB52" s="2108">
        <f t="shared" si="41"/>
        <v>0.33333333333333331</v>
      </c>
      <c r="AC52" s="2109">
        <f t="shared" si="42"/>
        <v>0.33333333333333331</v>
      </c>
      <c r="AD52" s="2108">
        <f t="shared" si="43"/>
        <v>0.33333333333333331</v>
      </c>
      <c r="AE52" s="2108">
        <f t="shared" si="44"/>
        <v>0.33333333333333331</v>
      </c>
      <c r="AG52" s="2106" t="s">
        <v>2968</v>
      </c>
      <c r="AH52" s="2110" t="s">
        <v>2794</v>
      </c>
      <c r="AI52" s="2111" t="s">
        <v>2797</v>
      </c>
      <c r="AJ52" s="2148">
        <v>0.25</v>
      </c>
      <c r="AK52" s="2148">
        <v>0.25</v>
      </c>
      <c r="AL52" s="2148">
        <v>0.25</v>
      </c>
      <c r="AM52" s="2148">
        <v>0.25</v>
      </c>
      <c r="AN52" s="2148">
        <v>0.25</v>
      </c>
      <c r="AO52" s="2148"/>
      <c r="AP52" s="2148"/>
      <c r="AQ52" s="2149">
        <v>0.25</v>
      </c>
      <c r="AR52" s="2148">
        <v>0.25</v>
      </c>
      <c r="AS52" s="2113">
        <v>0.25</v>
      </c>
      <c r="AT52" s="2114">
        <v>0.25</v>
      </c>
      <c r="AU52" s="2113">
        <v>0.25</v>
      </c>
      <c r="AV52" s="2113">
        <v>0.25</v>
      </c>
      <c r="AX52" s="2106" t="s">
        <v>2968</v>
      </c>
      <c r="AY52" s="2110" t="s">
        <v>2794</v>
      </c>
      <c r="AZ52" s="2111" t="s">
        <v>2797</v>
      </c>
      <c r="BA52" s="2113"/>
      <c r="BB52" s="2113"/>
      <c r="BC52" s="2113"/>
      <c r="BD52" s="2113"/>
      <c r="BE52" s="2113"/>
      <c r="BF52" s="2113"/>
      <c r="BG52" s="2113"/>
      <c r="BH52" s="2120"/>
      <c r="BI52" s="2113"/>
      <c r="BJ52" s="2113"/>
      <c r="BK52" s="2114"/>
      <c r="BL52" s="2113"/>
      <c r="BM52" s="2113"/>
      <c r="BO52" s="2106" t="s">
        <v>2968</v>
      </c>
      <c r="BP52" s="2110" t="s">
        <v>2794</v>
      </c>
      <c r="BQ52" s="2111" t="s">
        <v>2797</v>
      </c>
      <c r="BR52" s="2148">
        <v>0.33333333333333331</v>
      </c>
      <c r="BS52" s="2148">
        <v>0.33333333333333331</v>
      </c>
      <c r="BT52" s="2148">
        <v>0.33333333333333331</v>
      </c>
      <c r="BU52" s="2148">
        <v>0.33333333333333331</v>
      </c>
      <c r="BV52" s="2148">
        <v>0.33333333333333331</v>
      </c>
      <c r="BW52" s="2148"/>
      <c r="BX52" s="2148"/>
      <c r="BY52" s="2148">
        <v>0.33333333333333331</v>
      </c>
      <c r="BZ52" s="2148">
        <v>0.33333333333333331</v>
      </c>
      <c r="CA52" s="2148">
        <v>0.33333333333333331</v>
      </c>
      <c r="CB52" s="2148">
        <v>0.33333333333333331</v>
      </c>
      <c r="CC52" s="2148">
        <v>0.33333333333333331</v>
      </c>
      <c r="CD52" s="2148">
        <v>0.33333333333333331</v>
      </c>
      <c r="CE52" s="2555"/>
    </row>
    <row r="53" spans="1:84">
      <c r="B53" s="2080">
        <f t="shared" si="45"/>
        <v>4.2</v>
      </c>
      <c r="C53" s="2125" t="str">
        <f t="shared" si="26"/>
        <v>換気</v>
      </c>
      <c r="D53" s="2104">
        <f>IF(I$47=0,0,G53/I$47)</f>
        <v>0.3</v>
      </c>
      <c r="E53" s="2105">
        <f>IF(J$47=0,0,H53/J$47)</f>
        <v>0</v>
      </c>
      <c r="G53" s="2105">
        <f t="shared" si="27"/>
        <v>0.3</v>
      </c>
      <c r="H53" s="2105">
        <f t="shared" si="28"/>
        <v>0</v>
      </c>
      <c r="I53" s="2105">
        <f>SUM(G54:G57)</f>
        <v>0.75</v>
      </c>
      <c r="J53" s="2105">
        <f>SUM(H54:H57)</f>
        <v>0</v>
      </c>
      <c r="K53" s="2105">
        <f>IF(スコア!M53=0,0,1)</f>
        <v>1</v>
      </c>
      <c r="L53" s="2105">
        <f>IF(スコア!O53=0,0,1)</f>
        <v>0</v>
      </c>
      <c r="M53" s="2105">
        <f t="shared" si="29"/>
        <v>0.3</v>
      </c>
      <c r="N53" s="2105">
        <f t="shared" si="30"/>
        <v>0</v>
      </c>
      <c r="P53" s="2106">
        <f t="shared" si="6"/>
        <v>4.2</v>
      </c>
      <c r="Q53" s="2106" t="str">
        <f t="shared" si="7"/>
        <v xml:space="preserve"> Q1 4</v>
      </c>
      <c r="R53" s="2107" t="str">
        <f t="shared" si="31"/>
        <v>換気</v>
      </c>
      <c r="S53" s="2108">
        <f t="shared" si="32"/>
        <v>0.3</v>
      </c>
      <c r="T53" s="2108">
        <f t="shared" si="33"/>
        <v>0.3</v>
      </c>
      <c r="U53" s="2108">
        <f t="shared" si="34"/>
        <v>0.3</v>
      </c>
      <c r="V53" s="2108">
        <f t="shared" si="35"/>
        <v>0.3</v>
      </c>
      <c r="W53" s="2108">
        <f t="shared" si="36"/>
        <v>0.3</v>
      </c>
      <c r="X53" s="2108">
        <f t="shared" si="37"/>
        <v>0.3</v>
      </c>
      <c r="Y53" s="2108">
        <f t="shared" si="38"/>
        <v>0.4</v>
      </c>
      <c r="Z53" s="2117">
        <f t="shared" si="39"/>
        <v>0.3</v>
      </c>
      <c r="AA53" s="2108">
        <f t="shared" si="40"/>
        <v>0.3</v>
      </c>
      <c r="AB53" s="2108">
        <f t="shared" si="41"/>
        <v>0.3</v>
      </c>
      <c r="AC53" s="2109">
        <f t="shared" si="42"/>
        <v>0.375</v>
      </c>
      <c r="AD53" s="2108">
        <f t="shared" si="43"/>
        <v>0.375</v>
      </c>
      <c r="AE53" s="2108">
        <f t="shared" si="44"/>
        <v>0.375</v>
      </c>
      <c r="AG53" s="2106">
        <v>4.2</v>
      </c>
      <c r="AH53" s="2110" t="s">
        <v>2793</v>
      </c>
      <c r="AI53" s="2107" t="s">
        <v>1088</v>
      </c>
      <c r="AJ53" s="2148">
        <v>0.3</v>
      </c>
      <c r="AK53" s="2148">
        <v>0.3</v>
      </c>
      <c r="AL53" s="2148">
        <v>0.3</v>
      </c>
      <c r="AM53" s="2148">
        <v>0.3</v>
      </c>
      <c r="AN53" s="2148">
        <v>0.3</v>
      </c>
      <c r="AO53" s="2148">
        <v>0.3</v>
      </c>
      <c r="AP53" s="2148">
        <v>0.4</v>
      </c>
      <c r="AQ53" s="2149">
        <v>0.3</v>
      </c>
      <c r="AR53" s="2148">
        <v>0.3</v>
      </c>
      <c r="AS53" s="2113">
        <v>0.3</v>
      </c>
      <c r="AT53" s="2114">
        <v>0.375</v>
      </c>
      <c r="AU53" s="2113">
        <v>0.375</v>
      </c>
      <c r="AV53" s="2113">
        <v>0.375</v>
      </c>
      <c r="AX53" s="2106">
        <v>4.2</v>
      </c>
      <c r="AY53" s="2110" t="s">
        <v>2793</v>
      </c>
      <c r="AZ53" s="2107" t="s">
        <v>1088</v>
      </c>
      <c r="BA53" s="2113">
        <v>0.3</v>
      </c>
      <c r="BB53" s="2113">
        <v>0.3</v>
      </c>
      <c r="BC53" s="2113">
        <v>0.3</v>
      </c>
      <c r="BD53" s="2113">
        <v>0.3</v>
      </c>
      <c r="BE53" s="2113">
        <v>0.3</v>
      </c>
      <c r="BF53" s="2113">
        <v>0.3</v>
      </c>
      <c r="BG53" s="2113">
        <v>0.4</v>
      </c>
      <c r="BH53" s="2120">
        <v>0.3</v>
      </c>
      <c r="BI53" s="2113">
        <v>0.3</v>
      </c>
      <c r="BJ53" s="2113">
        <v>0.3</v>
      </c>
      <c r="BK53" s="2114">
        <v>0.375</v>
      </c>
      <c r="BL53" s="2113">
        <v>0.375</v>
      </c>
      <c r="BM53" s="2113">
        <v>0.375</v>
      </c>
      <c r="BO53" s="2106">
        <v>4.2</v>
      </c>
      <c r="BP53" s="2110" t="s">
        <v>2793</v>
      </c>
      <c r="BQ53" s="2107" t="s">
        <v>1088</v>
      </c>
      <c r="BR53" s="2148">
        <v>0.3</v>
      </c>
      <c r="BS53" s="2148">
        <v>0.3</v>
      </c>
      <c r="BT53" s="2148">
        <v>0.3</v>
      </c>
      <c r="BU53" s="2148">
        <v>0.3</v>
      </c>
      <c r="BV53" s="2148">
        <v>0.3</v>
      </c>
      <c r="BW53" s="2148">
        <v>0.3</v>
      </c>
      <c r="BX53" s="2148">
        <v>0.4</v>
      </c>
      <c r="BY53" s="2149">
        <v>0.3</v>
      </c>
      <c r="BZ53" s="2148">
        <v>0.3</v>
      </c>
      <c r="CA53" s="2148">
        <v>0.3</v>
      </c>
      <c r="CB53" s="2150">
        <v>0.375</v>
      </c>
      <c r="CC53" s="2148">
        <v>0.375</v>
      </c>
      <c r="CD53" s="2148">
        <v>0.375</v>
      </c>
      <c r="CE53" s="2555"/>
    </row>
    <row r="54" spans="1:84">
      <c r="B54" s="2080" t="str">
        <f t="shared" si="45"/>
        <v>4.2.1</v>
      </c>
      <c r="C54" s="2103" t="str">
        <f t="shared" si="26"/>
        <v>換気量</v>
      </c>
      <c r="D54" s="2093">
        <f t="shared" ref="D54:E57" si="47">IF(I$53&gt;0,G54/I$53,0)</f>
        <v>0.33333333333333331</v>
      </c>
      <c r="E54" s="2105">
        <f t="shared" si="47"/>
        <v>0</v>
      </c>
      <c r="G54" s="2105">
        <f t="shared" si="27"/>
        <v>0.25</v>
      </c>
      <c r="H54" s="2105">
        <f t="shared" si="28"/>
        <v>0</v>
      </c>
      <c r="I54" s="2105"/>
      <c r="J54" s="2105"/>
      <c r="K54" s="2105">
        <f>IF(スコア!M54=0,0,1)</f>
        <v>1</v>
      </c>
      <c r="L54" s="2105">
        <f>IF(スコア!O54=0,0,1)</f>
        <v>1</v>
      </c>
      <c r="M54" s="2105">
        <f t="shared" si="29"/>
        <v>0.25</v>
      </c>
      <c r="N54" s="2105">
        <f t="shared" si="30"/>
        <v>0</v>
      </c>
      <c r="P54" s="2106" t="str">
        <f t="shared" si="6"/>
        <v>4.2.1</v>
      </c>
      <c r="Q54" s="2106" t="str">
        <f t="shared" si="7"/>
        <v xml:space="preserve"> Q1 4.2</v>
      </c>
      <c r="R54" s="2107" t="str">
        <f t="shared" si="31"/>
        <v>換気量</v>
      </c>
      <c r="S54" s="2108">
        <f t="shared" si="32"/>
        <v>0.25</v>
      </c>
      <c r="T54" s="2108">
        <f t="shared" si="33"/>
        <v>0.25</v>
      </c>
      <c r="U54" s="2108">
        <f t="shared" si="34"/>
        <v>0.33333333333333331</v>
      </c>
      <c r="V54" s="2108">
        <f t="shared" si="35"/>
        <v>0.33333333333333331</v>
      </c>
      <c r="W54" s="2108">
        <f t="shared" si="36"/>
        <v>0.33333333333333331</v>
      </c>
      <c r="X54" s="2108">
        <f t="shared" si="37"/>
        <v>0.33333333333333331</v>
      </c>
      <c r="Y54" s="2108">
        <f t="shared" si="38"/>
        <v>0.5</v>
      </c>
      <c r="Z54" s="2117">
        <f t="shared" si="39"/>
        <v>0.33333333333333331</v>
      </c>
      <c r="AA54" s="2108">
        <f t="shared" si="40"/>
        <v>0.25</v>
      </c>
      <c r="AB54" s="2108">
        <f t="shared" si="41"/>
        <v>0.25</v>
      </c>
      <c r="AC54" s="2109">
        <f t="shared" si="42"/>
        <v>0.25</v>
      </c>
      <c r="AD54" s="2108">
        <f t="shared" si="43"/>
        <v>0.25</v>
      </c>
      <c r="AE54" s="2108">
        <f t="shared" si="44"/>
        <v>0.25</v>
      </c>
      <c r="AG54" s="2106" t="s">
        <v>2969</v>
      </c>
      <c r="AH54" s="2110" t="s">
        <v>2798</v>
      </c>
      <c r="AI54" s="2111" t="s">
        <v>2799</v>
      </c>
      <c r="AJ54" s="2148">
        <v>0.25</v>
      </c>
      <c r="AK54" s="2148">
        <v>0.25</v>
      </c>
      <c r="AL54" s="2151">
        <v>0.33333333333333331</v>
      </c>
      <c r="AM54" s="2151">
        <v>0.33333333333333331</v>
      </c>
      <c r="AN54" s="2151">
        <v>0.33333333333333331</v>
      </c>
      <c r="AO54" s="2151">
        <v>0.33333333333333331</v>
      </c>
      <c r="AP54" s="2148"/>
      <c r="AQ54" s="2151">
        <v>0.33333333333333331</v>
      </c>
      <c r="AR54" s="2148">
        <v>0.25</v>
      </c>
      <c r="AS54" s="2113">
        <v>0.25</v>
      </c>
      <c r="AT54" s="2114">
        <v>0.25</v>
      </c>
      <c r="AU54" s="2113">
        <v>0.25</v>
      </c>
      <c r="AV54" s="2113"/>
      <c r="AX54" s="2106" t="s">
        <v>2969</v>
      </c>
      <c r="AY54" s="2110" t="s">
        <v>2798</v>
      </c>
      <c r="AZ54" s="2111" t="s">
        <v>2799</v>
      </c>
      <c r="BA54" s="2113">
        <v>0.33333333333333331</v>
      </c>
      <c r="BB54" s="2113">
        <v>0.33333333333333331</v>
      </c>
      <c r="BC54" s="2113">
        <v>0.5</v>
      </c>
      <c r="BD54" s="2113">
        <v>0.5</v>
      </c>
      <c r="BE54" s="2113">
        <v>0.5</v>
      </c>
      <c r="BF54" s="2113">
        <v>0.5</v>
      </c>
      <c r="BG54" s="2113">
        <v>0.5</v>
      </c>
      <c r="BH54" s="2120">
        <v>0.5</v>
      </c>
      <c r="BI54" s="2113">
        <v>0.33333333333333331</v>
      </c>
      <c r="BJ54" s="2113">
        <v>0.33333333333333331</v>
      </c>
      <c r="BK54" s="2114">
        <v>0.33333333333333331</v>
      </c>
      <c r="BL54" s="2113">
        <v>0.33333333333333331</v>
      </c>
      <c r="BM54" s="2113">
        <v>0.33333333333333331</v>
      </c>
      <c r="BO54" s="2106" t="s">
        <v>2969</v>
      </c>
      <c r="BP54" s="2110" t="s">
        <v>2798</v>
      </c>
      <c r="BQ54" s="2111" t="s">
        <v>2799</v>
      </c>
      <c r="BR54" s="2148">
        <v>0.25</v>
      </c>
      <c r="BS54" s="2148">
        <v>0.25</v>
      </c>
      <c r="BT54" s="2148">
        <v>0.33333333333333331</v>
      </c>
      <c r="BU54" s="2148">
        <v>0.33333333333333331</v>
      </c>
      <c r="BV54" s="2148">
        <v>0.33333333333333331</v>
      </c>
      <c r="BW54" s="2148">
        <v>0.33333333333333331</v>
      </c>
      <c r="BX54" s="2148">
        <v>0.5</v>
      </c>
      <c r="BY54" s="2148">
        <v>0.33333333333333331</v>
      </c>
      <c r="BZ54" s="2148">
        <v>0.25</v>
      </c>
      <c r="CA54" s="2148">
        <v>0.25</v>
      </c>
      <c r="CB54" s="2150">
        <v>0.25</v>
      </c>
      <c r="CC54" s="2148">
        <v>0.25</v>
      </c>
      <c r="CD54" s="2148">
        <v>0.25</v>
      </c>
      <c r="CE54" s="2555"/>
    </row>
    <row r="55" spans="1:84">
      <c r="B55" s="2080" t="str">
        <f t="shared" si="45"/>
        <v>4.2.2</v>
      </c>
      <c r="C55" s="2103" t="str">
        <f t="shared" si="26"/>
        <v>自然換気性能</v>
      </c>
      <c r="D55" s="2093">
        <f t="shared" si="47"/>
        <v>0.33333333333333331</v>
      </c>
      <c r="E55" s="2105">
        <f t="shared" si="47"/>
        <v>0</v>
      </c>
      <c r="G55" s="2105">
        <f t="shared" si="27"/>
        <v>0.25</v>
      </c>
      <c r="H55" s="2105">
        <f t="shared" si="28"/>
        <v>0</v>
      </c>
      <c r="I55" s="2105"/>
      <c r="J55" s="2105"/>
      <c r="K55" s="2105">
        <f>IF(スコア!M55=0,0,1)</f>
        <v>1</v>
      </c>
      <c r="L55" s="2105">
        <f>IF(スコア!O55=0,0,1)</f>
        <v>1</v>
      </c>
      <c r="M55" s="2105">
        <f t="shared" si="29"/>
        <v>0.25</v>
      </c>
      <c r="N55" s="2105">
        <f t="shared" si="30"/>
        <v>0</v>
      </c>
      <c r="P55" s="2106" t="str">
        <f t="shared" si="6"/>
        <v>4.2.2</v>
      </c>
      <c r="Q55" s="2106" t="str">
        <f t="shared" si="7"/>
        <v xml:space="preserve"> Q1 4.2</v>
      </c>
      <c r="R55" s="2107" t="str">
        <f t="shared" si="31"/>
        <v>自然換気性能</v>
      </c>
      <c r="S55" s="2108">
        <f t="shared" si="32"/>
        <v>0.25</v>
      </c>
      <c r="T55" s="2108">
        <f t="shared" si="33"/>
        <v>0.25</v>
      </c>
      <c r="U55" s="2108">
        <f t="shared" si="34"/>
        <v>0</v>
      </c>
      <c r="V55" s="2108">
        <f t="shared" si="35"/>
        <v>0</v>
      </c>
      <c r="W55" s="2108">
        <f t="shared" si="36"/>
        <v>0</v>
      </c>
      <c r="X55" s="2108">
        <f t="shared" si="37"/>
        <v>0</v>
      </c>
      <c r="Y55" s="2108">
        <f t="shared" si="38"/>
        <v>0</v>
      </c>
      <c r="Z55" s="2117">
        <f t="shared" si="39"/>
        <v>0</v>
      </c>
      <c r="AA55" s="2108">
        <f t="shared" si="40"/>
        <v>0.25</v>
      </c>
      <c r="AB55" s="2108">
        <f t="shared" si="41"/>
        <v>0.25</v>
      </c>
      <c r="AC55" s="2109">
        <f t="shared" si="42"/>
        <v>0.25</v>
      </c>
      <c r="AD55" s="2108">
        <f t="shared" si="43"/>
        <v>0.25</v>
      </c>
      <c r="AE55" s="2108">
        <f t="shared" si="44"/>
        <v>0.25</v>
      </c>
      <c r="AG55" s="2106" t="s">
        <v>2970</v>
      </c>
      <c r="AH55" s="2110" t="s">
        <v>2798</v>
      </c>
      <c r="AI55" s="2111" t="s">
        <v>2800</v>
      </c>
      <c r="AJ55" s="2148">
        <v>0.25</v>
      </c>
      <c r="AK55" s="2148">
        <v>0.25</v>
      </c>
      <c r="AL55" s="2148"/>
      <c r="AM55" s="2148"/>
      <c r="AN55" s="2148"/>
      <c r="AO55" s="2148"/>
      <c r="AP55" s="2148"/>
      <c r="AQ55" s="2149"/>
      <c r="AR55" s="2148">
        <v>0.25</v>
      </c>
      <c r="AS55" s="2113">
        <v>0.25</v>
      </c>
      <c r="AT55" s="2114">
        <v>0.25</v>
      </c>
      <c r="AU55" s="2113">
        <v>0.25</v>
      </c>
      <c r="AV55" s="2113">
        <v>0.33</v>
      </c>
      <c r="AX55" s="2106" t="s">
        <v>2970</v>
      </c>
      <c r="AY55" s="2110" t="s">
        <v>2798</v>
      </c>
      <c r="AZ55" s="2111" t="s">
        <v>2800</v>
      </c>
      <c r="BA55" s="2113">
        <v>0.33333333333333331</v>
      </c>
      <c r="BB55" s="2113">
        <v>0.33333333333333331</v>
      </c>
      <c r="BC55" s="2113"/>
      <c r="BD55" s="2113"/>
      <c r="BE55" s="2113"/>
      <c r="BF55" s="2113"/>
      <c r="BG55" s="2113"/>
      <c r="BH55" s="2120"/>
      <c r="BI55" s="2113">
        <v>0.33333333333333331</v>
      </c>
      <c r="BJ55" s="2113">
        <v>0.33333333333333331</v>
      </c>
      <c r="BK55" s="2114">
        <v>0.33333333333333331</v>
      </c>
      <c r="BL55" s="2113">
        <v>0.33333333333333331</v>
      </c>
      <c r="BM55" s="2113">
        <v>0.33333333333333331</v>
      </c>
      <c r="BO55" s="2106" t="s">
        <v>2970</v>
      </c>
      <c r="BP55" s="2110" t="s">
        <v>2798</v>
      </c>
      <c r="BQ55" s="2111" t="s">
        <v>2800</v>
      </c>
      <c r="BR55" s="2148">
        <v>0.25</v>
      </c>
      <c r="BS55" s="2148">
        <v>0.25</v>
      </c>
      <c r="BT55" s="2148"/>
      <c r="BU55" s="2148"/>
      <c r="BV55" s="2148"/>
      <c r="BW55" s="2148"/>
      <c r="BX55" s="2148"/>
      <c r="BY55" s="2149"/>
      <c r="BZ55" s="2148">
        <v>0.25</v>
      </c>
      <c r="CA55" s="2148">
        <v>0.25</v>
      </c>
      <c r="CB55" s="2150">
        <v>0.25</v>
      </c>
      <c r="CC55" s="2148">
        <v>0.25</v>
      </c>
      <c r="CD55" s="2148">
        <v>0.25</v>
      </c>
      <c r="CE55" s="2555"/>
    </row>
    <row r="56" spans="1:84">
      <c r="B56" s="2080" t="str">
        <f t="shared" si="45"/>
        <v>4.2.3</v>
      </c>
      <c r="C56" s="2103" t="str">
        <f t="shared" si="26"/>
        <v>取り入れ外気への配慮</v>
      </c>
      <c r="D56" s="2093">
        <f t="shared" si="47"/>
        <v>0.33333333333333331</v>
      </c>
      <c r="E56" s="2105">
        <f t="shared" si="47"/>
        <v>0</v>
      </c>
      <c r="G56" s="2105">
        <f t="shared" si="27"/>
        <v>0.25</v>
      </c>
      <c r="H56" s="2105">
        <f t="shared" si="28"/>
        <v>0</v>
      </c>
      <c r="I56" s="2105"/>
      <c r="J56" s="2105"/>
      <c r="K56" s="2105">
        <f>IF(スコア!M56=0,0,1)</f>
        <v>1</v>
      </c>
      <c r="L56" s="2105">
        <f>IF(スコア!O56=0,0,1)</f>
        <v>1</v>
      </c>
      <c r="M56" s="2105">
        <f t="shared" si="29"/>
        <v>0.25</v>
      </c>
      <c r="N56" s="2105">
        <f t="shared" si="30"/>
        <v>0</v>
      </c>
      <c r="P56" s="2106" t="str">
        <f t="shared" si="6"/>
        <v>4.2.3</v>
      </c>
      <c r="Q56" s="2106" t="str">
        <f t="shared" si="7"/>
        <v xml:space="preserve"> Q1 4.2</v>
      </c>
      <c r="R56" s="2107" t="str">
        <f t="shared" si="31"/>
        <v>取り入れ外気への配慮</v>
      </c>
      <c r="S56" s="2108">
        <f t="shared" si="32"/>
        <v>0.25</v>
      </c>
      <c r="T56" s="2108">
        <f t="shared" si="33"/>
        <v>0.25</v>
      </c>
      <c r="U56" s="2108">
        <f t="shared" si="34"/>
        <v>0.33333333333333331</v>
      </c>
      <c r="V56" s="2108">
        <f t="shared" si="35"/>
        <v>0.33333333333333331</v>
      </c>
      <c r="W56" s="2108">
        <f t="shared" si="36"/>
        <v>0.33333333333333331</v>
      </c>
      <c r="X56" s="2108">
        <f t="shared" si="37"/>
        <v>0.33333333333333331</v>
      </c>
      <c r="Y56" s="2108">
        <f t="shared" si="38"/>
        <v>0.5</v>
      </c>
      <c r="Z56" s="2117">
        <f t="shared" si="39"/>
        <v>0.33333333333333331</v>
      </c>
      <c r="AA56" s="2108">
        <f t="shared" si="40"/>
        <v>0.25</v>
      </c>
      <c r="AB56" s="2108">
        <f t="shared" si="41"/>
        <v>0.25</v>
      </c>
      <c r="AC56" s="2109">
        <f t="shared" si="42"/>
        <v>0.25</v>
      </c>
      <c r="AD56" s="2108">
        <f t="shared" si="43"/>
        <v>0.25</v>
      </c>
      <c r="AE56" s="2108">
        <f t="shared" si="44"/>
        <v>0.25</v>
      </c>
      <c r="AG56" s="2106" t="s">
        <v>2971</v>
      </c>
      <c r="AH56" s="2110" t="s">
        <v>2798</v>
      </c>
      <c r="AI56" s="2111" t="s">
        <v>2801</v>
      </c>
      <c r="AJ56" s="2148">
        <v>0.25</v>
      </c>
      <c r="AK56" s="2148">
        <v>0.25</v>
      </c>
      <c r="AL56" s="2151">
        <v>0.33333333333333331</v>
      </c>
      <c r="AM56" s="2151">
        <v>0.33333333333333331</v>
      </c>
      <c r="AN56" s="2151">
        <v>0.33333333333333331</v>
      </c>
      <c r="AO56" s="2151">
        <v>0.33333333333333331</v>
      </c>
      <c r="AP56" s="2148">
        <v>1</v>
      </c>
      <c r="AQ56" s="2151">
        <v>0.33333333333333331</v>
      </c>
      <c r="AR56" s="2148">
        <v>0.25</v>
      </c>
      <c r="AS56" s="2113">
        <v>0.25</v>
      </c>
      <c r="AT56" s="2114">
        <v>0.25</v>
      </c>
      <c r="AU56" s="2113">
        <v>0.25</v>
      </c>
      <c r="AV56" s="2113">
        <v>0.33</v>
      </c>
      <c r="AX56" s="2106" t="s">
        <v>2971</v>
      </c>
      <c r="AY56" s="2110" t="s">
        <v>2798</v>
      </c>
      <c r="AZ56" s="2111" t="s">
        <v>2801</v>
      </c>
      <c r="BA56" s="2113">
        <v>0.33333333333333331</v>
      </c>
      <c r="BB56" s="2113">
        <v>0.33333333333333331</v>
      </c>
      <c r="BC56" s="2113">
        <v>0.5</v>
      </c>
      <c r="BD56" s="2113">
        <v>0.5</v>
      </c>
      <c r="BE56" s="2113">
        <v>0.5</v>
      </c>
      <c r="BF56" s="2113">
        <v>0.5</v>
      </c>
      <c r="BG56" s="2113">
        <v>0.5</v>
      </c>
      <c r="BH56" s="2120">
        <v>0.5</v>
      </c>
      <c r="BI56" s="2113">
        <v>0.33333333333333331</v>
      </c>
      <c r="BJ56" s="2113">
        <v>0.33333333333333331</v>
      </c>
      <c r="BK56" s="2114">
        <v>0.33333333333333331</v>
      </c>
      <c r="BL56" s="2113">
        <v>0.33333333333333331</v>
      </c>
      <c r="BM56" s="2113">
        <v>0.33333333333333331</v>
      </c>
      <c r="BO56" s="2106" t="s">
        <v>2971</v>
      </c>
      <c r="BP56" s="2110" t="s">
        <v>2798</v>
      </c>
      <c r="BQ56" s="2111" t="s">
        <v>2801</v>
      </c>
      <c r="BR56" s="2148">
        <v>0.25</v>
      </c>
      <c r="BS56" s="2148">
        <v>0.25</v>
      </c>
      <c r="BT56" s="2148">
        <v>0.33333333333333331</v>
      </c>
      <c r="BU56" s="2148">
        <v>0.33333333333333331</v>
      </c>
      <c r="BV56" s="2148">
        <v>0.33333333333333331</v>
      </c>
      <c r="BW56" s="2148">
        <v>0.33333333333333331</v>
      </c>
      <c r="BX56" s="2148">
        <v>0.5</v>
      </c>
      <c r="BY56" s="2148">
        <v>0.33333333333333331</v>
      </c>
      <c r="BZ56" s="2148">
        <v>0.25</v>
      </c>
      <c r="CA56" s="2148">
        <v>0.25</v>
      </c>
      <c r="CB56" s="2150">
        <v>0.25</v>
      </c>
      <c r="CC56" s="2148">
        <v>0.25</v>
      </c>
      <c r="CD56" s="2148">
        <v>0.25</v>
      </c>
      <c r="CE56" s="2555"/>
    </row>
    <row r="57" spans="1:84">
      <c r="B57" s="2080" t="str">
        <f t="shared" si="45"/>
        <v>4.2.4</v>
      </c>
      <c r="C57" s="2103" t="str">
        <f t="shared" si="26"/>
        <v>給気計画</v>
      </c>
      <c r="D57" s="2093">
        <f t="shared" si="47"/>
        <v>0</v>
      </c>
      <c r="E57" s="2105">
        <f t="shared" si="47"/>
        <v>0</v>
      </c>
      <c r="G57" s="2105">
        <f t="shared" si="27"/>
        <v>0</v>
      </c>
      <c r="H57" s="2105">
        <f t="shared" si="28"/>
        <v>0</v>
      </c>
      <c r="I57" s="2105"/>
      <c r="J57" s="2105"/>
      <c r="K57" s="2105">
        <f>IF(スコア!M57=0,0,1)</f>
        <v>0</v>
      </c>
      <c r="L57" s="2105">
        <f>IF(スコア!O57=0,0,1)</f>
        <v>0</v>
      </c>
      <c r="M57" s="2105">
        <f t="shared" si="29"/>
        <v>0.25</v>
      </c>
      <c r="N57" s="2105">
        <f t="shared" si="30"/>
        <v>0</v>
      </c>
      <c r="P57" s="2106" t="str">
        <f t="shared" si="6"/>
        <v>4.2.4</v>
      </c>
      <c r="Q57" s="2106" t="str">
        <f t="shared" si="7"/>
        <v xml:space="preserve"> Q1 4.2</v>
      </c>
      <c r="R57" s="2107" t="str">
        <f t="shared" si="31"/>
        <v>給気計画</v>
      </c>
      <c r="S57" s="2108">
        <f t="shared" si="32"/>
        <v>0.25</v>
      </c>
      <c r="T57" s="2108">
        <f t="shared" si="33"/>
        <v>0.25</v>
      </c>
      <c r="U57" s="2108">
        <f t="shared" si="34"/>
        <v>0.33333333333333331</v>
      </c>
      <c r="V57" s="2108">
        <f t="shared" si="35"/>
        <v>0.33333333333333331</v>
      </c>
      <c r="W57" s="2108">
        <f t="shared" si="36"/>
        <v>0.33333333333333331</v>
      </c>
      <c r="X57" s="2108">
        <f t="shared" si="37"/>
        <v>0.33333333333333331</v>
      </c>
      <c r="Y57" s="2108">
        <f t="shared" si="38"/>
        <v>0</v>
      </c>
      <c r="Z57" s="2117">
        <f t="shared" si="39"/>
        <v>0.33333333333333331</v>
      </c>
      <c r="AA57" s="2108">
        <f t="shared" si="40"/>
        <v>0.25</v>
      </c>
      <c r="AB57" s="2108">
        <f t="shared" si="41"/>
        <v>0.25</v>
      </c>
      <c r="AC57" s="2109">
        <f t="shared" si="42"/>
        <v>0.25</v>
      </c>
      <c r="AD57" s="2108">
        <f t="shared" si="43"/>
        <v>0.25</v>
      </c>
      <c r="AE57" s="2108">
        <f t="shared" si="44"/>
        <v>0.25</v>
      </c>
      <c r="AG57" s="2106" t="s">
        <v>2972</v>
      </c>
      <c r="AH57" s="2110" t="s">
        <v>2798</v>
      </c>
      <c r="AI57" s="2111" t="s">
        <v>2973</v>
      </c>
      <c r="AJ57" s="2143">
        <v>0.25</v>
      </c>
      <c r="AK57" s="2143">
        <v>0.25</v>
      </c>
      <c r="AL57" s="2152">
        <v>0.33333333333333331</v>
      </c>
      <c r="AM57" s="2152">
        <v>0.33333333333333331</v>
      </c>
      <c r="AN57" s="2152">
        <v>0.33333333333333331</v>
      </c>
      <c r="AO57" s="2152">
        <v>0.33333333333333331</v>
      </c>
      <c r="AP57" s="2143"/>
      <c r="AQ57" s="2152">
        <v>0.33333333333333331</v>
      </c>
      <c r="AR57" s="2143">
        <v>0.25</v>
      </c>
      <c r="AS57" s="2113">
        <v>0.25</v>
      </c>
      <c r="AT57" s="2114">
        <v>0.25</v>
      </c>
      <c r="AU57" s="2113">
        <v>0.25</v>
      </c>
      <c r="AV57" s="2113">
        <v>0.33</v>
      </c>
      <c r="AX57" s="2106" t="s">
        <v>2972</v>
      </c>
      <c r="AY57" s="2110" t="s">
        <v>2798</v>
      </c>
      <c r="AZ57" s="2111" t="s">
        <v>2973</v>
      </c>
      <c r="BA57" s="2113"/>
      <c r="BB57" s="2113"/>
      <c r="BC57" s="2113"/>
      <c r="BD57" s="2113"/>
      <c r="BE57" s="2113"/>
      <c r="BF57" s="2113"/>
      <c r="BG57" s="2113"/>
      <c r="BH57" s="2120"/>
      <c r="BI57" s="2113"/>
      <c r="BJ57" s="2113"/>
      <c r="BK57" s="2114"/>
      <c r="BL57" s="2113"/>
      <c r="BM57" s="2113"/>
      <c r="BO57" s="2106" t="s">
        <v>2972</v>
      </c>
      <c r="BP57" s="2110" t="s">
        <v>2798</v>
      </c>
      <c r="BQ57" s="2111" t="s">
        <v>2973</v>
      </c>
      <c r="BR57" s="2148">
        <v>0.25</v>
      </c>
      <c r="BS57" s="2148">
        <v>0.25</v>
      </c>
      <c r="BT57" s="2148">
        <v>0.33333333333333331</v>
      </c>
      <c r="BU57" s="2148">
        <v>0.33333333333333331</v>
      </c>
      <c r="BV57" s="2148">
        <v>0.33333333333333331</v>
      </c>
      <c r="BW57" s="2148">
        <v>0.33333333333333331</v>
      </c>
      <c r="BX57" s="2148"/>
      <c r="BY57" s="2148">
        <v>0.33333333333333331</v>
      </c>
      <c r="BZ57" s="2148">
        <v>0.25</v>
      </c>
      <c r="CA57" s="2148">
        <v>0.25</v>
      </c>
      <c r="CB57" s="2150">
        <v>0.25</v>
      </c>
      <c r="CC57" s="2148">
        <v>0.25</v>
      </c>
      <c r="CD57" s="2148">
        <v>0.25</v>
      </c>
      <c r="CE57" s="2555"/>
    </row>
    <row r="58" spans="1:84">
      <c r="B58" s="2080">
        <f t="shared" si="45"/>
        <v>4.3</v>
      </c>
      <c r="C58" s="2125" t="str">
        <f t="shared" si="26"/>
        <v>運用管理</v>
      </c>
      <c r="D58" s="2104">
        <f>IF(I$47=0,0,G58/I$47)</f>
        <v>0.2</v>
      </c>
      <c r="E58" s="2105">
        <f>IF(J$47=0,0,H58/J$47)</f>
        <v>0</v>
      </c>
      <c r="G58" s="2105">
        <f t="shared" si="27"/>
        <v>0.2</v>
      </c>
      <c r="H58" s="2105">
        <f t="shared" si="28"/>
        <v>0</v>
      </c>
      <c r="I58" s="2105">
        <f>G59+G60</f>
        <v>1</v>
      </c>
      <c r="J58" s="2105">
        <f>H59+H60</f>
        <v>0</v>
      </c>
      <c r="K58" s="2105">
        <f>IF(スコア!M58=0,0,1)</f>
        <v>1</v>
      </c>
      <c r="L58" s="2105">
        <f>IF(スコア!O58=0,0,1)</f>
        <v>0</v>
      </c>
      <c r="M58" s="2105">
        <f t="shared" si="29"/>
        <v>0.2</v>
      </c>
      <c r="N58" s="2105">
        <f t="shared" si="30"/>
        <v>0</v>
      </c>
      <c r="P58" s="2106">
        <f t="shared" si="6"/>
        <v>4.3</v>
      </c>
      <c r="Q58" s="2106" t="str">
        <f t="shared" si="7"/>
        <v xml:space="preserve"> Q1 4</v>
      </c>
      <c r="R58" s="2107" t="str">
        <f t="shared" si="31"/>
        <v>運用管理</v>
      </c>
      <c r="S58" s="2108">
        <f t="shared" si="32"/>
        <v>0.2</v>
      </c>
      <c r="T58" s="2108">
        <f t="shared" si="33"/>
        <v>0.2</v>
      </c>
      <c r="U58" s="2108">
        <f t="shared" si="34"/>
        <v>0.2</v>
      </c>
      <c r="V58" s="2108">
        <f t="shared" si="35"/>
        <v>0.2</v>
      </c>
      <c r="W58" s="2108">
        <f t="shared" si="36"/>
        <v>0.2</v>
      </c>
      <c r="X58" s="2108">
        <f t="shared" si="37"/>
        <v>0.2</v>
      </c>
      <c r="Y58" s="2108">
        <f t="shared" si="38"/>
        <v>0</v>
      </c>
      <c r="Z58" s="2117">
        <f t="shared" si="39"/>
        <v>0.2</v>
      </c>
      <c r="AA58" s="2108">
        <f t="shared" si="40"/>
        <v>0.2</v>
      </c>
      <c r="AB58" s="2108">
        <f t="shared" si="41"/>
        <v>0.2</v>
      </c>
      <c r="AC58" s="2109">
        <f t="shared" si="42"/>
        <v>0</v>
      </c>
      <c r="AD58" s="2108">
        <f t="shared" si="43"/>
        <v>0</v>
      </c>
      <c r="AE58" s="2108">
        <f t="shared" si="44"/>
        <v>0</v>
      </c>
      <c r="AG58" s="2106">
        <v>4.3</v>
      </c>
      <c r="AH58" s="2110" t="s">
        <v>2793</v>
      </c>
      <c r="AI58" s="2107" t="s">
        <v>2584</v>
      </c>
      <c r="AJ58" s="2148">
        <v>0.2</v>
      </c>
      <c r="AK58" s="2148">
        <v>0.2</v>
      </c>
      <c r="AL58" s="2148">
        <v>0.2</v>
      </c>
      <c r="AM58" s="2148">
        <v>0.2</v>
      </c>
      <c r="AN58" s="2148">
        <v>0.2</v>
      </c>
      <c r="AO58" s="2148">
        <v>0.2</v>
      </c>
      <c r="AP58" s="2148"/>
      <c r="AQ58" s="2149">
        <v>0.2</v>
      </c>
      <c r="AR58" s="2148">
        <v>0.2</v>
      </c>
      <c r="AS58" s="2113">
        <v>0.2</v>
      </c>
      <c r="AT58" s="2114"/>
      <c r="AU58" s="2113"/>
      <c r="AV58" s="2113"/>
      <c r="AX58" s="2106">
        <v>4.3</v>
      </c>
      <c r="AY58" s="2110" t="s">
        <v>2793</v>
      </c>
      <c r="AZ58" s="2107" t="s">
        <v>2584</v>
      </c>
      <c r="BA58" s="2113">
        <v>0.2</v>
      </c>
      <c r="BB58" s="2113">
        <v>0.2</v>
      </c>
      <c r="BC58" s="2113">
        <v>0.2</v>
      </c>
      <c r="BD58" s="2113">
        <v>0.2</v>
      </c>
      <c r="BE58" s="2113">
        <v>0.2</v>
      </c>
      <c r="BF58" s="2113">
        <v>0.2</v>
      </c>
      <c r="BG58" s="2113"/>
      <c r="BH58" s="2120">
        <v>0.2</v>
      </c>
      <c r="BI58" s="2113">
        <v>0.2</v>
      </c>
      <c r="BJ58" s="2113">
        <v>0.2</v>
      </c>
      <c r="BK58" s="2114"/>
      <c r="BL58" s="2113"/>
      <c r="BM58" s="2113"/>
      <c r="BO58" s="2106">
        <v>4.3</v>
      </c>
      <c r="BP58" s="2110" t="s">
        <v>2793</v>
      </c>
      <c r="BQ58" s="2107" t="s">
        <v>2584</v>
      </c>
      <c r="BR58" s="2148">
        <v>0.2</v>
      </c>
      <c r="BS58" s="2148">
        <v>0.2</v>
      </c>
      <c r="BT58" s="2148">
        <v>0.2</v>
      </c>
      <c r="BU58" s="2148">
        <v>0.2</v>
      </c>
      <c r="BV58" s="2148">
        <v>0.2</v>
      </c>
      <c r="BW58" s="2148">
        <v>0.2</v>
      </c>
      <c r="BX58" s="2148"/>
      <c r="BY58" s="2149">
        <v>0.2</v>
      </c>
      <c r="BZ58" s="2148">
        <v>0.2</v>
      </c>
      <c r="CA58" s="2148">
        <v>0.2</v>
      </c>
      <c r="CB58" s="2150"/>
      <c r="CC58" s="2148"/>
      <c r="CD58" s="2148"/>
      <c r="CE58" s="2555"/>
    </row>
    <row r="59" spans="1:84">
      <c r="B59" s="2080" t="str">
        <f t="shared" si="45"/>
        <v>4.3.1</v>
      </c>
      <c r="C59" s="2103" t="str">
        <f t="shared" si="26"/>
        <v>CO2の監視</v>
      </c>
      <c r="D59" s="2093">
        <f>IF(I$58&gt;0,G59/I$58,0)</f>
        <v>0.5</v>
      </c>
      <c r="E59" s="2105">
        <f>IF(J$58&gt;0,H59/J$58,0)</f>
        <v>0</v>
      </c>
      <c r="G59" s="2105">
        <f t="shared" si="27"/>
        <v>0.5</v>
      </c>
      <c r="H59" s="2105">
        <f t="shared" si="28"/>
        <v>0</v>
      </c>
      <c r="I59" s="2105"/>
      <c r="J59" s="2105"/>
      <c r="K59" s="2105">
        <f>IF(スコア!M59=0,0,1)</f>
        <v>1</v>
      </c>
      <c r="L59" s="2105">
        <f>IF(スコア!O59=0,0,1)</f>
        <v>0</v>
      </c>
      <c r="M59" s="2105">
        <f t="shared" si="29"/>
        <v>0.5</v>
      </c>
      <c r="N59" s="2105">
        <f t="shared" si="30"/>
        <v>0</v>
      </c>
      <c r="P59" s="2106" t="str">
        <f t="shared" si="6"/>
        <v>4.3.1</v>
      </c>
      <c r="Q59" s="2106" t="str">
        <f t="shared" si="7"/>
        <v xml:space="preserve"> Q1 4.3</v>
      </c>
      <c r="R59" s="2107" t="str">
        <f t="shared" si="31"/>
        <v>CO2の監視</v>
      </c>
      <c r="S59" s="2108">
        <f t="shared" si="32"/>
        <v>0.5</v>
      </c>
      <c r="T59" s="2108">
        <f t="shared" si="33"/>
        <v>0.5</v>
      </c>
      <c r="U59" s="2108">
        <f t="shared" si="34"/>
        <v>0.5</v>
      </c>
      <c r="V59" s="2108">
        <f t="shared" si="35"/>
        <v>0.5</v>
      </c>
      <c r="W59" s="2108">
        <f t="shared" si="36"/>
        <v>0</v>
      </c>
      <c r="X59" s="2108">
        <f t="shared" si="37"/>
        <v>0</v>
      </c>
      <c r="Y59" s="2108">
        <f t="shared" si="38"/>
        <v>0</v>
      </c>
      <c r="Z59" s="2117">
        <f t="shared" si="39"/>
        <v>0.5</v>
      </c>
      <c r="AA59" s="2108">
        <f t="shared" si="40"/>
        <v>0.5</v>
      </c>
      <c r="AB59" s="2108">
        <f t="shared" si="41"/>
        <v>0.5</v>
      </c>
      <c r="AC59" s="2109">
        <f t="shared" si="42"/>
        <v>0</v>
      </c>
      <c r="AD59" s="2108">
        <f t="shared" si="43"/>
        <v>0</v>
      </c>
      <c r="AE59" s="2108">
        <f t="shared" si="44"/>
        <v>0</v>
      </c>
      <c r="AG59" s="2106" t="s">
        <v>2974</v>
      </c>
      <c r="AH59" s="2110" t="s">
        <v>2802</v>
      </c>
      <c r="AI59" s="2111" t="s">
        <v>2975</v>
      </c>
      <c r="AJ59" s="2148">
        <v>0.5</v>
      </c>
      <c r="AK59" s="2148">
        <v>0.5</v>
      </c>
      <c r="AL59" s="2148">
        <v>0.5</v>
      </c>
      <c r="AM59" s="2148">
        <v>0.5</v>
      </c>
      <c r="AN59" s="2148"/>
      <c r="AO59" s="2148"/>
      <c r="AP59" s="2148"/>
      <c r="AQ59" s="2149">
        <v>0.5</v>
      </c>
      <c r="AR59" s="2148">
        <v>0.5</v>
      </c>
      <c r="AS59" s="2113">
        <v>0.5</v>
      </c>
      <c r="AT59" s="2114"/>
      <c r="AU59" s="2113"/>
      <c r="AV59" s="2113"/>
      <c r="AX59" s="2106" t="s">
        <v>2974</v>
      </c>
      <c r="AY59" s="2110" t="s">
        <v>2802</v>
      </c>
      <c r="AZ59" s="2111" t="s">
        <v>2975</v>
      </c>
      <c r="BA59" s="2113">
        <v>0.5</v>
      </c>
      <c r="BB59" s="2113">
        <v>0.5</v>
      </c>
      <c r="BC59" s="2113">
        <v>0.5</v>
      </c>
      <c r="BD59" s="2113">
        <v>0.5</v>
      </c>
      <c r="BE59" s="2113"/>
      <c r="BF59" s="2113"/>
      <c r="BG59" s="2113"/>
      <c r="BH59" s="2120">
        <v>0.5</v>
      </c>
      <c r="BI59" s="2113">
        <v>0.5</v>
      </c>
      <c r="BJ59" s="2113">
        <v>0.5</v>
      </c>
      <c r="BK59" s="2114"/>
      <c r="BL59" s="2113"/>
      <c r="BM59" s="2113"/>
      <c r="BO59" s="2106" t="s">
        <v>2974</v>
      </c>
      <c r="BP59" s="2110" t="s">
        <v>2802</v>
      </c>
      <c r="BQ59" s="2111" t="s">
        <v>2975</v>
      </c>
      <c r="BR59" s="2148">
        <v>0.5</v>
      </c>
      <c r="BS59" s="2148">
        <v>0.5</v>
      </c>
      <c r="BT59" s="2148">
        <v>0.5</v>
      </c>
      <c r="BU59" s="2148">
        <v>0.5</v>
      </c>
      <c r="BV59" s="2148"/>
      <c r="BW59" s="2148"/>
      <c r="BX59" s="2148"/>
      <c r="BY59" s="2149">
        <v>0.5</v>
      </c>
      <c r="BZ59" s="2148">
        <v>0.5</v>
      </c>
      <c r="CA59" s="2148">
        <v>0.5</v>
      </c>
      <c r="CB59" s="2150"/>
      <c r="CC59" s="2148"/>
      <c r="CD59" s="2148"/>
      <c r="CE59" s="2555"/>
    </row>
    <row r="60" spans="1:84">
      <c r="B60" s="2080" t="str">
        <f t="shared" si="45"/>
        <v>4.3.2</v>
      </c>
      <c r="C60" s="2103" t="str">
        <f t="shared" si="26"/>
        <v>喫煙の制御</v>
      </c>
      <c r="D60" s="2093">
        <f>IF(I$58&gt;0,G60/I$58,0)</f>
        <v>0.5</v>
      </c>
      <c r="E60" s="2105">
        <f>IF(J$58&gt;0,H60/J$58,0)</f>
        <v>0</v>
      </c>
      <c r="G60" s="2105">
        <f t="shared" si="27"/>
        <v>0.5</v>
      </c>
      <c r="H60" s="2105">
        <f t="shared" si="28"/>
        <v>0</v>
      </c>
      <c r="I60" s="2105"/>
      <c r="J60" s="2105"/>
      <c r="K60" s="2105">
        <f>IF(スコア!M60=0,0,1)</f>
        <v>1</v>
      </c>
      <c r="L60" s="2105">
        <f>IF(スコア!O60=0,0,1)</f>
        <v>0</v>
      </c>
      <c r="M60" s="2105">
        <f t="shared" si="29"/>
        <v>0.5</v>
      </c>
      <c r="N60" s="2105">
        <f t="shared" si="30"/>
        <v>0</v>
      </c>
      <c r="P60" s="2106" t="str">
        <f t="shared" si="6"/>
        <v>4.3.2</v>
      </c>
      <c r="Q60" s="2106" t="str">
        <f t="shared" si="7"/>
        <v xml:space="preserve"> Q1 4.3</v>
      </c>
      <c r="R60" s="2107" t="str">
        <f t="shared" si="31"/>
        <v>喫煙の制御</v>
      </c>
      <c r="S60" s="2108">
        <f t="shared" si="32"/>
        <v>0.5</v>
      </c>
      <c r="T60" s="2108">
        <f t="shared" si="33"/>
        <v>0.5</v>
      </c>
      <c r="U60" s="2108">
        <f t="shared" si="34"/>
        <v>0.5</v>
      </c>
      <c r="V60" s="2108">
        <f t="shared" si="35"/>
        <v>0.5</v>
      </c>
      <c r="W60" s="2108">
        <f t="shared" si="36"/>
        <v>1</v>
      </c>
      <c r="X60" s="2108">
        <f t="shared" si="37"/>
        <v>1</v>
      </c>
      <c r="Y60" s="2108">
        <f t="shared" si="38"/>
        <v>0</v>
      </c>
      <c r="Z60" s="2117">
        <f t="shared" si="39"/>
        <v>0.5</v>
      </c>
      <c r="AA60" s="2108">
        <f t="shared" si="40"/>
        <v>0.5</v>
      </c>
      <c r="AB60" s="2108">
        <f t="shared" si="41"/>
        <v>0.5</v>
      </c>
      <c r="AC60" s="2109">
        <f t="shared" si="42"/>
        <v>0</v>
      </c>
      <c r="AD60" s="2108">
        <f t="shared" si="43"/>
        <v>0</v>
      </c>
      <c r="AE60" s="2108">
        <f t="shared" si="44"/>
        <v>0</v>
      </c>
      <c r="AG60" s="2106" t="s">
        <v>2976</v>
      </c>
      <c r="AH60" s="2110" t="s">
        <v>2802</v>
      </c>
      <c r="AI60" s="2111" t="s">
        <v>2977</v>
      </c>
      <c r="AJ60" s="2148">
        <v>0.5</v>
      </c>
      <c r="AK60" s="2148">
        <v>0.5</v>
      </c>
      <c r="AL60" s="2148">
        <v>0.5</v>
      </c>
      <c r="AM60" s="2148">
        <v>0.5</v>
      </c>
      <c r="AN60" s="2148">
        <v>1</v>
      </c>
      <c r="AO60" s="2148">
        <v>1</v>
      </c>
      <c r="AP60" s="2148"/>
      <c r="AQ60" s="2149">
        <v>0.5</v>
      </c>
      <c r="AR60" s="2148">
        <v>0.5</v>
      </c>
      <c r="AS60" s="2113">
        <v>0.5</v>
      </c>
      <c r="AT60" s="2114"/>
      <c r="AU60" s="2113"/>
      <c r="AV60" s="2113"/>
      <c r="AX60" s="2106" t="s">
        <v>2976</v>
      </c>
      <c r="AY60" s="2110" t="s">
        <v>2802</v>
      </c>
      <c r="AZ60" s="2111" t="s">
        <v>2977</v>
      </c>
      <c r="BA60" s="2113">
        <v>0.5</v>
      </c>
      <c r="BB60" s="2113">
        <v>0.5</v>
      </c>
      <c r="BC60" s="2113">
        <v>0.5</v>
      </c>
      <c r="BD60" s="2113">
        <v>0.5</v>
      </c>
      <c r="BE60" s="2113">
        <v>1</v>
      </c>
      <c r="BF60" s="2113">
        <v>1</v>
      </c>
      <c r="BG60" s="2113"/>
      <c r="BH60" s="2120">
        <v>0.5</v>
      </c>
      <c r="BI60" s="2113">
        <v>0.5</v>
      </c>
      <c r="BJ60" s="2113">
        <v>0.5</v>
      </c>
      <c r="BK60" s="2114"/>
      <c r="BL60" s="2113"/>
      <c r="BM60" s="2113"/>
      <c r="BO60" s="2106" t="s">
        <v>2976</v>
      </c>
      <c r="BP60" s="2110" t="s">
        <v>2802</v>
      </c>
      <c r="BQ60" s="2111" t="s">
        <v>2977</v>
      </c>
      <c r="BR60" s="2148">
        <v>0.5</v>
      </c>
      <c r="BS60" s="2148">
        <v>0.5</v>
      </c>
      <c r="BT60" s="2148">
        <v>0.5</v>
      </c>
      <c r="BU60" s="2148">
        <v>0.5</v>
      </c>
      <c r="BV60" s="2148">
        <v>1</v>
      </c>
      <c r="BW60" s="2148">
        <v>1</v>
      </c>
      <c r="BX60" s="2148"/>
      <c r="BY60" s="2149">
        <v>0.5</v>
      </c>
      <c r="BZ60" s="2148">
        <v>0.5</v>
      </c>
      <c r="CA60" s="2148">
        <v>0.5</v>
      </c>
      <c r="CB60" s="2150"/>
      <c r="CC60" s="2148"/>
      <c r="CD60" s="2148"/>
      <c r="CE60" s="2555"/>
    </row>
    <row r="61" spans="1:84" s="1485" customFormat="1">
      <c r="A61"/>
      <c r="B61" s="2080" t="str">
        <f t="shared" si="45"/>
        <v>Q2</v>
      </c>
      <c r="C61" s="2084" t="str">
        <f t="shared" si="26"/>
        <v>サービス性能</v>
      </c>
      <c r="D61" s="2082">
        <f>IF(I$8=0,0,G61/I$8)</f>
        <v>0.3</v>
      </c>
      <c r="E61" s="2083">
        <f>IF(J$8=0,0,H61/J$8)</f>
        <v>0</v>
      </c>
      <c r="F61"/>
      <c r="G61" s="2083">
        <f t="shared" si="27"/>
        <v>0.3</v>
      </c>
      <c r="H61" s="2083">
        <f t="shared" si="28"/>
        <v>0</v>
      </c>
      <c r="I61" s="2083">
        <f>G62+G75+G97</f>
        <v>1</v>
      </c>
      <c r="J61" s="2083">
        <f>H62+H75+H97</f>
        <v>0</v>
      </c>
      <c r="K61" s="2083">
        <f>IF(スコア!Q61=0,0,1)</f>
        <v>1</v>
      </c>
      <c r="L61" s="2083">
        <f>IF(スコア!O61=0,0,1)</f>
        <v>0</v>
      </c>
      <c r="M61" s="2083">
        <f t="shared" si="29"/>
        <v>0.3</v>
      </c>
      <c r="N61" s="2083">
        <f t="shared" si="30"/>
        <v>0</v>
      </c>
      <c r="O61"/>
      <c r="P61" s="2080" t="str">
        <f t="shared" si="6"/>
        <v>Q2</v>
      </c>
      <c r="Q61" s="2080" t="str">
        <f t="shared" si="7"/>
        <v xml:space="preserve"> Q</v>
      </c>
      <c r="R61" s="2084" t="str">
        <f t="shared" si="31"/>
        <v>サービス性能</v>
      </c>
      <c r="S61" s="2085">
        <f t="shared" si="32"/>
        <v>0.3</v>
      </c>
      <c r="T61" s="2085">
        <f t="shared" si="33"/>
        <v>0.3</v>
      </c>
      <c r="U61" s="2085">
        <f t="shared" si="34"/>
        <v>0.3</v>
      </c>
      <c r="V61" s="2085">
        <f t="shared" si="35"/>
        <v>0.3</v>
      </c>
      <c r="W61" s="2085">
        <f t="shared" si="36"/>
        <v>0.3</v>
      </c>
      <c r="X61" s="2085">
        <f t="shared" si="37"/>
        <v>0.3</v>
      </c>
      <c r="Y61" s="2085">
        <f t="shared" si="38"/>
        <v>0.3</v>
      </c>
      <c r="Z61" s="2085">
        <f t="shared" si="39"/>
        <v>0.3</v>
      </c>
      <c r="AA61" s="2085">
        <f t="shared" si="40"/>
        <v>0.3</v>
      </c>
      <c r="AB61" s="2085">
        <f t="shared" si="41"/>
        <v>0.3</v>
      </c>
      <c r="AC61" s="2086">
        <f t="shared" si="42"/>
        <v>0</v>
      </c>
      <c r="AD61" s="2085">
        <f t="shared" si="43"/>
        <v>0</v>
      </c>
      <c r="AE61" s="2085">
        <f t="shared" si="44"/>
        <v>0</v>
      </c>
      <c r="AF61"/>
      <c r="AG61" s="2080" t="s">
        <v>2978</v>
      </c>
      <c r="AH61" s="2087" t="s">
        <v>1038</v>
      </c>
      <c r="AI61" s="2084" t="s">
        <v>2979</v>
      </c>
      <c r="AJ61" s="2085">
        <v>0.3</v>
      </c>
      <c r="AK61" s="2085">
        <v>0.3</v>
      </c>
      <c r="AL61" s="2085">
        <v>0.3</v>
      </c>
      <c r="AM61" s="2085">
        <v>0.3</v>
      </c>
      <c r="AN61" s="2085">
        <v>0.3</v>
      </c>
      <c r="AO61" s="2085">
        <v>0.3</v>
      </c>
      <c r="AP61" s="2085">
        <v>0.3</v>
      </c>
      <c r="AQ61" s="2085">
        <v>0.3</v>
      </c>
      <c r="AR61" s="2085">
        <v>0.3</v>
      </c>
      <c r="AS61" s="2088">
        <v>0.3</v>
      </c>
      <c r="AT61" s="2089">
        <v>0</v>
      </c>
      <c r="AU61" s="2088">
        <v>0</v>
      </c>
      <c r="AV61" s="2088">
        <v>0</v>
      </c>
      <c r="AW61"/>
      <c r="AX61" s="2080" t="s">
        <v>2978</v>
      </c>
      <c r="AY61" s="2087" t="s">
        <v>1038</v>
      </c>
      <c r="AZ61" s="2084" t="s">
        <v>2979</v>
      </c>
      <c r="BA61" s="2088">
        <v>0.3</v>
      </c>
      <c r="BB61" s="2088">
        <v>0.3</v>
      </c>
      <c r="BC61" s="2088">
        <v>0.3</v>
      </c>
      <c r="BD61" s="2088">
        <v>0.3</v>
      </c>
      <c r="BE61" s="2088">
        <v>0.3</v>
      </c>
      <c r="BF61" s="2088">
        <v>0.3</v>
      </c>
      <c r="BG61" s="2088">
        <v>0.3</v>
      </c>
      <c r="BH61" s="2088">
        <v>0.3</v>
      </c>
      <c r="BI61" s="2088">
        <v>0.3</v>
      </c>
      <c r="BJ61" s="2088">
        <v>0.3</v>
      </c>
      <c r="BK61" s="2089"/>
      <c r="BL61" s="2088"/>
      <c r="BM61" s="2088"/>
      <c r="BN61"/>
      <c r="BO61" s="2080" t="s">
        <v>2978</v>
      </c>
      <c r="BP61" s="2087" t="s">
        <v>1038</v>
      </c>
      <c r="BQ61" s="2084" t="s">
        <v>2979</v>
      </c>
      <c r="BR61" s="2088">
        <v>0.3</v>
      </c>
      <c r="BS61" s="2088">
        <v>0.3</v>
      </c>
      <c r="BT61" s="2088">
        <v>0.3</v>
      </c>
      <c r="BU61" s="2088">
        <v>0.3</v>
      </c>
      <c r="BV61" s="2088">
        <v>0.3</v>
      </c>
      <c r="BW61" s="2088">
        <v>0.3</v>
      </c>
      <c r="BX61" s="2088">
        <v>0.3</v>
      </c>
      <c r="BY61" s="2088">
        <v>0.3</v>
      </c>
      <c r="BZ61" s="2088">
        <v>0.3</v>
      </c>
      <c r="CA61" s="2088">
        <v>0.3</v>
      </c>
      <c r="CB61" s="2089"/>
      <c r="CC61" s="2088"/>
      <c r="CD61" s="2088"/>
      <c r="CE61" s="2552"/>
      <c r="CF61"/>
    </row>
    <row r="62" spans="1:84" s="1485" customFormat="1">
      <c r="A62"/>
      <c r="B62" s="2080">
        <f t="shared" si="45"/>
        <v>1</v>
      </c>
      <c r="C62" s="2095" t="str">
        <f t="shared" si="26"/>
        <v>機能性</v>
      </c>
      <c r="D62" s="2091">
        <f>IF(I$61=0,0,G62/I$61)</f>
        <v>0.4</v>
      </c>
      <c r="E62" s="2092">
        <f>IF(J$61=0,0,H62/J$61)</f>
        <v>0</v>
      </c>
      <c r="F62"/>
      <c r="G62" s="2092">
        <f t="shared" si="27"/>
        <v>0.4</v>
      </c>
      <c r="H62" s="2092">
        <f t="shared" si="28"/>
        <v>0</v>
      </c>
      <c r="I62" s="2092">
        <f>G63+G67+G71</f>
        <v>1</v>
      </c>
      <c r="J62" s="2092">
        <f>H63+H67+H71</f>
        <v>0</v>
      </c>
      <c r="K62" s="2092">
        <f>IF(スコア!M62=0,0,1)</f>
        <v>1</v>
      </c>
      <c r="L62" s="2092">
        <f>IF(スコア!O62=0,0,1)</f>
        <v>0</v>
      </c>
      <c r="M62" s="2092">
        <f t="shared" si="29"/>
        <v>0.4</v>
      </c>
      <c r="N62" s="2092">
        <f t="shared" si="30"/>
        <v>0</v>
      </c>
      <c r="O62"/>
      <c r="P62" s="2094">
        <f t="shared" si="6"/>
        <v>1</v>
      </c>
      <c r="Q62" s="2094" t="str">
        <f t="shared" si="7"/>
        <v xml:space="preserve"> Q2</v>
      </c>
      <c r="R62" s="2095" t="str">
        <f t="shared" si="31"/>
        <v>機能性</v>
      </c>
      <c r="S62" s="2153">
        <f t="shared" si="32"/>
        <v>0.4</v>
      </c>
      <c r="T62" s="2153">
        <f t="shared" si="33"/>
        <v>0.4</v>
      </c>
      <c r="U62" s="2153">
        <f t="shared" si="34"/>
        <v>0.4</v>
      </c>
      <c r="V62" s="2153">
        <f t="shared" si="35"/>
        <v>0.4</v>
      </c>
      <c r="W62" s="2153">
        <f t="shared" si="36"/>
        <v>0.4</v>
      </c>
      <c r="X62" s="2153">
        <f t="shared" si="37"/>
        <v>0.4</v>
      </c>
      <c r="Y62" s="2153">
        <f t="shared" si="38"/>
        <v>0.4</v>
      </c>
      <c r="Z62" s="2122">
        <f t="shared" si="39"/>
        <v>0.4</v>
      </c>
      <c r="AA62" s="2679">
        <f>IF(Q3="coCASB",0,IF($P$3=1,BI62,IF($P$3=2,BZ62,AR62)))</f>
        <v>0.4</v>
      </c>
      <c r="AB62" s="2153">
        <f t="shared" si="41"/>
        <v>0.4</v>
      </c>
      <c r="AC62" s="2154">
        <f t="shared" si="42"/>
        <v>0</v>
      </c>
      <c r="AD62" s="2153">
        <f t="shared" si="43"/>
        <v>0</v>
      </c>
      <c r="AE62" s="2153">
        <f t="shared" si="44"/>
        <v>0</v>
      </c>
      <c r="AF62"/>
      <c r="AG62" s="2094">
        <v>1</v>
      </c>
      <c r="AH62" s="2099" t="s">
        <v>2803</v>
      </c>
      <c r="AI62" s="2095" t="s">
        <v>2804</v>
      </c>
      <c r="AJ62" s="2153">
        <v>0.4</v>
      </c>
      <c r="AK62" s="2153">
        <v>0.4</v>
      </c>
      <c r="AL62" s="2153">
        <v>0.4</v>
      </c>
      <c r="AM62" s="2153">
        <v>0.4</v>
      </c>
      <c r="AN62" s="2153">
        <v>0.4</v>
      </c>
      <c r="AO62" s="2153">
        <v>0.4</v>
      </c>
      <c r="AP62" s="2153">
        <v>0.4</v>
      </c>
      <c r="AQ62" s="2122">
        <v>0.4</v>
      </c>
      <c r="AR62" s="2153">
        <v>0.4</v>
      </c>
      <c r="AS62" s="2155">
        <v>0.4</v>
      </c>
      <c r="AT62" s="2156"/>
      <c r="AU62" s="2155"/>
      <c r="AV62" s="2155"/>
      <c r="AW62"/>
      <c r="AX62" s="2094">
        <v>1</v>
      </c>
      <c r="AY62" s="2099" t="s">
        <v>2803</v>
      </c>
      <c r="AZ62" s="2095" t="s">
        <v>2804</v>
      </c>
      <c r="BA62" s="2155">
        <v>0.4</v>
      </c>
      <c r="BB62" s="2155">
        <v>0.4</v>
      </c>
      <c r="BC62" s="2155">
        <v>0.4</v>
      </c>
      <c r="BD62" s="2155">
        <v>0.4</v>
      </c>
      <c r="BE62" s="2155">
        <v>0.4</v>
      </c>
      <c r="BF62" s="2155">
        <v>0.4</v>
      </c>
      <c r="BG62" s="2155">
        <v>0.4</v>
      </c>
      <c r="BH62" s="2157">
        <v>0.4</v>
      </c>
      <c r="BI62" s="2155">
        <v>0.4</v>
      </c>
      <c r="BJ62" s="2155">
        <v>0.4</v>
      </c>
      <c r="BK62" s="2156"/>
      <c r="BL62" s="2155"/>
      <c r="BM62" s="2155"/>
      <c r="BN62"/>
      <c r="BO62" s="2094">
        <v>1</v>
      </c>
      <c r="BP62" s="2099" t="s">
        <v>2803</v>
      </c>
      <c r="BQ62" s="2095" t="s">
        <v>2804</v>
      </c>
      <c r="BR62" s="2155">
        <v>0.4</v>
      </c>
      <c r="BS62" s="2155">
        <v>0.4</v>
      </c>
      <c r="BT62" s="2155">
        <v>0.4</v>
      </c>
      <c r="BU62" s="2155">
        <v>0.4</v>
      </c>
      <c r="BV62" s="2155">
        <v>0.4</v>
      </c>
      <c r="BW62" s="2155">
        <v>0.4</v>
      </c>
      <c r="BX62" s="2155">
        <v>0.4</v>
      </c>
      <c r="BY62" s="2157">
        <v>0.4</v>
      </c>
      <c r="BZ62" s="2155">
        <v>0.4</v>
      </c>
      <c r="CA62" s="2155">
        <v>0.4</v>
      </c>
      <c r="CB62" s="2156"/>
      <c r="CC62" s="2155"/>
      <c r="CD62" s="2155"/>
      <c r="CE62" s="2552"/>
      <c r="CF62"/>
    </row>
    <row r="63" spans="1:84">
      <c r="B63" s="2080">
        <f t="shared" si="45"/>
        <v>1.1000000000000001</v>
      </c>
      <c r="C63" s="2103" t="str">
        <f t="shared" si="26"/>
        <v>機能性・使いやすさ</v>
      </c>
      <c r="D63" s="2104">
        <f>IF(I$62=0,0,G63/I$62)</f>
        <v>0.4</v>
      </c>
      <c r="E63" s="2105">
        <f>IF(J$62=0,0,H63/J$62)</f>
        <v>0</v>
      </c>
      <c r="G63" s="2105">
        <f t="shared" si="27"/>
        <v>0.4</v>
      </c>
      <c r="H63" s="2105">
        <f t="shared" si="28"/>
        <v>0</v>
      </c>
      <c r="I63" s="2105">
        <f>SUM(G64:G66)</f>
        <v>1</v>
      </c>
      <c r="J63" s="2105">
        <f>SUM(H64:H66)</f>
        <v>0</v>
      </c>
      <c r="K63" s="2105">
        <f>IF(スコア!M63=0,0,1)</f>
        <v>1</v>
      </c>
      <c r="L63" s="2105">
        <f>IF(スコア!O63=0,0,1)</f>
        <v>0</v>
      </c>
      <c r="M63" s="2105">
        <f t="shared" si="29"/>
        <v>0.4</v>
      </c>
      <c r="N63" s="2105">
        <f t="shared" si="30"/>
        <v>0</v>
      </c>
      <c r="P63" s="2106">
        <f t="shared" si="6"/>
        <v>1.1000000000000001</v>
      </c>
      <c r="Q63" s="2106" t="str">
        <f t="shared" si="7"/>
        <v xml:space="preserve"> Q2 1</v>
      </c>
      <c r="R63" s="2107" t="str">
        <f t="shared" si="31"/>
        <v>機能性・使いやすさ</v>
      </c>
      <c r="S63" s="2108">
        <f t="shared" si="32"/>
        <v>0.4</v>
      </c>
      <c r="T63" s="2108">
        <f t="shared" si="33"/>
        <v>0.4</v>
      </c>
      <c r="U63" s="2108">
        <f t="shared" si="34"/>
        <v>0.4</v>
      </c>
      <c r="V63" s="2108">
        <f t="shared" si="35"/>
        <v>0.4</v>
      </c>
      <c r="W63" s="2108">
        <f t="shared" si="36"/>
        <v>0.4</v>
      </c>
      <c r="X63" s="2108">
        <f t="shared" si="37"/>
        <v>0.4</v>
      </c>
      <c r="Y63" s="2108">
        <f t="shared" si="38"/>
        <v>0.4</v>
      </c>
      <c r="Z63" s="2126">
        <f t="shared" si="39"/>
        <v>0.4</v>
      </c>
      <c r="AA63" s="2108">
        <f t="shared" si="40"/>
        <v>0.4</v>
      </c>
      <c r="AB63" s="2108">
        <f t="shared" si="41"/>
        <v>0.4</v>
      </c>
      <c r="AC63" s="2109">
        <f t="shared" si="42"/>
        <v>0.6</v>
      </c>
      <c r="AD63" s="2108">
        <f t="shared" si="43"/>
        <v>0.6</v>
      </c>
      <c r="AE63" s="2108">
        <f t="shared" si="44"/>
        <v>0.6</v>
      </c>
      <c r="AG63" s="2106">
        <v>1.1000000000000001</v>
      </c>
      <c r="AH63" s="2110" t="s">
        <v>2805</v>
      </c>
      <c r="AI63" s="2111" t="s">
        <v>2806</v>
      </c>
      <c r="AJ63" s="2108">
        <v>0.4</v>
      </c>
      <c r="AK63" s="2108">
        <v>0.4</v>
      </c>
      <c r="AL63" s="2108">
        <v>0.4</v>
      </c>
      <c r="AM63" s="2112">
        <v>0.4</v>
      </c>
      <c r="AN63" s="2112">
        <v>0.4</v>
      </c>
      <c r="AO63" s="2108">
        <v>0.4</v>
      </c>
      <c r="AP63" s="2112">
        <v>0.4</v>
      </c>
      <c r="AQ63" s="2108">
        <v>0.4</v>
      </c>
      <c r="AR63" s="2112">
        <v>0.4</v>
      </c>
      <c r="AS63" s="2113">
        <v>0.4</v>
      </c>
      <c r="AT63" s="2113">
        <v>0.6</v>
      </c>
      <c r="AU63" s="2113">
        <v>0.6</v>
      </c>
      <c r="AV63" s="2113">
        <v>0.6</v>
      </c>
      <c r="AX63" s="2106">
        <v>1.1000000000000001</v>
      </c>
      <c r="AY63" s="2110" t="s">
        <v>2805</v>
      </c>
      <c r="AZ63" s="2111" t="s">
        <v>2806</v>
      </c>
      <c r="BA63" s="2113">
        <v>0.4</v>
      </c>
      <c r="BB63" s="2113">
        <v>0.4</v>
      </c>
      <c r="BC63" s="2113">
        <v>0.4</v>
      </c>
      <c r="BD63" s="2113">
        <v>0.4</v>
      </c>
      <c r="BE63" s="2113">
        <v>0.4</v>
      </c>
      <c r="BF63" s="2113">
        <v>0.4</v>
      </c>
      <c r="BG63" s="2113">
        <v>0.4</v>
      </c>
      <c r="BH63" s="2120">
        <v>0.4</v>
      </c>
      <c r="BI63" s="2113">
        <v>0.4</v>
      </c>
      <c r="BJ63" s="2113">
        <v>0.4</v>
      </c>
      <c r="BK63" s="2113">
        <v>0.6</v>
      </c>
      <c r="BL63" s="2113">
        <v>0.6</v>
      </c>
      <c r="BM63" s="2113">
        <v>0.6</v>
      </c>
      <c r="BO63" s="2106">
        <v>1.1000000000000001</v>
      </c>
      <c r="BP63" s="2110" t="s">
        <v>2805</v>
      </c>
      <c r="BQ63" s="2111" t="s">
        <v>2806</v>
      </c>
      <c r="BR63" s="2113">
        <v>0.4</v>
      </c>
      <c r="BS63" s="2113">
        <v>0.4</v>
      </c>
      <c r="BT63" s="2113">
        <v>0.4</v>
      </c>
      <c r="BU63" s="2113">
        <v>0.4</v>
      </c>
      <c r="BV63" s="2113">
        <v>0.4</v>
      </c>
      <c r="BW63" s="2113">
        <v>0.4</v>
      </c>
      <c r="BX63" s="2113">
        <v>0.4</v>
      </c>
      <c r="BY63" s="2120">
        <v>0.4</v>
      </c>
      <c r="BZ63" s="2113">
        <v>0.4</v>
      </c>
      <c r="CA63" s="2113">
        <v>0.4</v>
      </c>
      <c r="CB63" s="2113">
        <v>0.6</v>
      </c>
      <c r="CC63" s="2113">
        <v>0.6</v>
      </c>
      <c r="CD63" s="2113">
        <v>0.6</v>
      </c>
      <c r="CE63" s="2554"/>
    </row>
    <row r="64" spans="1:84">
      <c r="B64" s="2080" t="str">
        <f t="shared" si="45"/>
        <v>1.1.1</v>
      </c>
      <c r="C64" s="2103" t="str">
        <f t="shared" si="26"/>
        <v>広さ・収納性</v>
      </c>
      <c r="D64" s="2093">
        <f t="shared" ref="D64:E66" si="48">IF(I$63&gt;0,G64/I$63,0)</f>
        <v>0.33333333333333331</v>
      </c>
      <c r="E64" s="2105">
        <f t="shared" si="48"/>
        <v>0</v>
      </c>
      <c r="G64" s="2105">
        <f t="shared" si="27"/>
        <v>0.33333333333333331</v>
      </c>
      <c r="H64" s="2105">
        <f t="shared" si="28"/>
        <v>0</v>
      </c>
      <c r="I64" s="2105"/>
      <c r="J64" s="2105"/>
      <c r="K64" s="2105">
        <f>IF(スコア!M64=0,0,1)</f>
        <v>1</v>
      </c>
      <c r="L64" s="2105">
        <f>IF(スコア!O64=0,0,1)</f>
        <v>1</v>
      </c>
      <c r="M64" s="2105">
        <f t="shared" si="29"/>
        <v>0.33333333333333331</v>
      </c>
      <c r="N64" s="2105">
        <f t="shared" si="30"/>
        <v>0</v>
      </c>
      <c r="P64" s="2106" t="str">
        <f t="shared" si="6"/>
        <v>1.1.1</v>
      </c>
      <c r="Q64" s="2106" t="str">
        <f t="shared" si="7"/>
        <v xml:space="preserve"> Q2 1.1</v>
      </c>
      <c r="R64" s="2107" t="str">
        <f t="shared" si="31"/>
        <v>広さ・収納性</v>
      </c>
      <c r="S64" s="2108">
        <f t="shared" si="32"/>
        <v>0.33333333333333331</v>
      </c>
      <c r="T64" s="2108">
        <f t="shared" si="33"/>
        <v>0</v>
      </c>
      <c r="U64" s="2108">
        <f t="shared" si="34"/>
        <v>0</v>
      </c>
      <c r="V64" s="2108">
        <f t="shared" si="35"/>
        <v>0</v>
      </c>
      <c r="W64" s="2108">
        <f t="shared" si="36"/>
        <v>0</v>
      </c>
      <c r="X64" s="2108">
        <f t="shared" si="37"/>
        <v>0</v>
      </c>
      <c r="Y64" s="2108">
        <f t="shared" si="38"/>
        <v>0</v>
      </c>
      <c r="Z64" s="2126">
        <f t="shared" si="39"/>
        <v>0</v>
      </c>
      <c r="AA64" s="2108">
        <f t="shared" si="40"/>
        <v>0.33333333333333331</v>
      </c>
      <c r="AB64" s="2108">
        <f t="shared" si="41"/>
        <v>0</v>
      </c>
      <c r="AC64" s="2109">
        <f t="shared" si="42"/>
        <v>1</v>
      </c>
      <c r="AD64" s="2108">
        <f t="shared" si="43"/>
        <v>0.5</v>
      </c>
      <c r="AE64" s="2108">
        <f t="shared" si="44"/>
        <v>0</v>
      </c>
      <c r="AG64" s="2106" t="s">
        <v>2980</v>
      </c>
      <c r="AH64" s="2110" t="s">
        <v>2807</v>
      </c>
      <c r="AI64" s="2111" t="s">
        <v>2808</v>
      </c>
      <c r="AJ64" s="2151">
        <v>0.33333333333333331</v>
      </c>
      <c r="AK64" s="2108"/>
      <c r="AL64" s="2108"/>
      <c r="AM64" s="2108"/>
      <c r="AN64" s="2108"/>
      <c r="AO64" s="2108"/>
      <c r="AP64" s="2108"/>
      <c r="AQ64" s="2126"/>
      <c r="AR64" s="2151">
        <v>0.33333333333333331</v>
      </c>
      <c r="AS64" s="2130">
        <v>0.5</v>
      </c>
      <c r="AT64" s="2114">
        <v>1</v>
      </c>
      <c r="AU64" s="2113">
        <v>0.5</v>
      </c>
      <c r="AV64" s="2113"/>
      <c r="AX64" s="2106" t="s">
        <v>2980</v>
      </c>
      <c r="AY64" s="2110" t="s">
        <v>2807</v>
      </c>
      <c r="AZ64" s="2111" t="s">
        <v>2808</v>
      </c>
      <c r="BA64" s="2113">
        <v>0.33333333333333331</v>
      </c>
      <c r="BB64" s="2113"/>
      <c r="BC64" s="2113"/>
      <c r="BD64" s="2113"/>
      <c r="BE64" s="2113"/>
      <c r="BF64" s="2113"/>
      <c r="BG64" s="2113"/>
      <c r="BH64" s="2120"/>
      <c r="BI64" s="2113">
        <v>0.33333333333333331</v>
      </c>
      <c r="BJ64" s="2113">
        <v>0.5</v>
      </c>
      <c r="BK64" s="2114">
        <v>1</v>
      </c>
      <c r="BL64" s="2113">
        <v>0.5</v>
      </c>
      <c r="BM64" s="2113"/>
      <c r="BO64" s="2106" t="s">
        <v>2980</v>
      </c>
      <c r="BP64" s="2110" t="s">
        <v>2807</v>
      </c>
      <c r="BQ64" s="2111" t="s">
        <v>2808</v>
      </c>
      <c r="BR64" s="2113">
        <v>0.33333333333333331</v>
      </c>
      <c r="BS64" s="2113"/>
      <c r="BT64" s="2113"/>
      <c r="BU64" s="2113"/>
      <c r="BV64" s="2113"/>
      <c r="BW64" s="2113"/>
      <c r="BX64" s="2113"/>
      <c r="BY64" s="2120"/>
      <c r="BZ64" s="2113">
        <v>0.33333333333333331</v>
      </c>
      <c r="CA64" s="2113"/>
      <c r="CB64" s="2114">
        <v>1</v>
      </c>
      <c r="CC64" s="2113">
        <v>0.5</v>
      </c>
      <c r="CD64" s="2113"/>
      <c r="CE64" s="2554"/>
    </row>
    <row r="65" spans="1:84">
      <c r="B65" s="2080" t="str">
        <f t="shared" si="45"/>
        <v>1.1.2</v>
      </c>
      <c r="C65" s="2103" t="str">
        <f t="shared" si="26"/>
        <v>高度情報通信設備対応</v>
      </c>
      <c r="D65" s="2093">
        <f t="shared" si="48"/>
        <v>0.33333333333333331</v>
      </c>
      <c r="E65" s="2105">
        <f t="shared" si="48"/>
        <v>0</v>
      </c>
      <c r="G65" s="2105">
        <f t="shared" si="27"/>
        <v>0.33333333333333331</v>
      </c>
      <c r="H65" s="2105">
        <f t="shared" si="28"/>
        <v>0</v>
      </c>
      <c r="I65" s="2105"/>
      <c r="J65" s="2105"/>
      <c r="K65" s="2105">
        <f>IF(スコア!M65=0,0,1)</f>
        <v>1</v>
      </c>
      <c r="L65" s="2105">
        <f>IF(スコア!O65=0,0,1)</f>
        <v>1</v>
      </c>
      <c r="M65" s="2105">
        <f t="shared" si="29"/>
        <v>0.33333333333333331</v>
      </c>
      <c r="N65" s="2105">
        <f t="shared" si="30"/>
        <v>0</v>
      </c>
      <c r="P65" s="2106" t="str">
        <f t="shared" si="6"/>
        <v>1.1.2</v>
      </c>
      <c r="Q65" s="2106" t="str">
        <f t="shared" si="7"/>
        <v xml:space="preserve"> Q2 1.1</v>
      </c>
      <c r="R65" s="2107" t="str">
        <f t="shared" si="31"/>
        <v>高度情報通信設備対応</v>
      </c>
      <c r="S65" s="2108">
        <f t="shared" si="32"/>
        <v>0.33333333333333331</v>
      </c>
      <c r="T65" s="2108">
        <f t="shared" si="33"/>
        <v>0</v>
      </c>
      <c r="U65" s="2108">
        <f t="shared" si="34"/>
        <v>0</v>
      </c>
      <c r="V65" s="2108">
        <f t="shared" si="35"/>
        <v>0</v>
      </c>
      <c r="W65" s="2108">
        <f t="shared" si="36"/>
        <v>0</v>
      </c>
      <c r="X65" s="2108">
        <f t="shared" si="37"/>
        <v>0</v>
      </c>
      <c r="Y65" s="2108">
        <f t="shared" si="38"/>
        <v>0</v>
      </c>
      <c r="Z65" s="2126">
        <f t="shared" si="39"/>
        <v>0</v>
      </c>
      <c r="AA65" s="2108">
        <f t="shared" si="40"/>
        <v>0.33333333333333331</v>
      </c>
      <c r="AB65" s="2108">
        <f t="shared" si="41"/>
        <v>0</v>
      </c>
      <c r="AC65" s="2109">
        <f t="shared" si="42"/>
        <v>0</v>
      </c>
      <c r="AD65" s="2108">
        <f t="shared" si="43"/>
        <v>0.5</v>
      </c>
      <c r="AE65" s="2108">
        <f t="shared" si="44"/>
        <v>1</v>
      </c>
      <c r="AG65" s="2106" t="s">
        <v>2981</v>
      </c>
      <c r="AH65" s="2110" t="s">
        <v>2807</v>
      </c>
      <c r="AI65" s="2111" t="s">
        <v>2982</v>
      </c>
      <c r="AJ65" s="2151">
        <v>0.33333333333333331</v>
      </c>
      <c r="AK65" s="2108"/>
      <c r="AL65" s="2108"/>
      <c r="AM65" s="2108"/>
      <c r="AN65" s="2108"/>
      <c r="AO65" s="2108"/>
      <c r="AP65" s="2108"/>
      <c r="AQ65" s="2126"/>
      <c r="AR65" s="2151">
        <v>0.33333333333333331</v>
      </c>
      <c r="AS65" s="2130"/>
      <c r="AT65" s="2114"/>
      <c r="AU65" s="2113">
        <v>0.5</v>
      </c>
      <c r="AV65" s="2113">
        <v>1</v>
      </c>
      <c r="AX65" s="2106" t="s">
        <v>2981</v>
      </c>
      <c r="AY65" s="2110" t="s">
        <v>2807</v>
      </c>
      <c r="AZ65" s="2111" t="s">
        <v>2982</v>
      </c>
      <c r="BA65" s="2113">
        <v>0.33333333333333331</v>
      </c>
      <c r="BB65" s="2113"/>
      <c r="BC65" s="2113"/>
      <c r="BD65" s="2113"/>
      <c r="BE65" s="2113"/>
      <c r="BF65" s="2113"/>
      <c r="BG65" s="2113"/>
      <c r="BH65" s="2120"/>
      <c r="BI65" s="2113">
        <v>0.33333333333333331</v>
      </c>
      <c r="BJ65" s="2113"/>
      <c r="BK65" s="2114"/>
      <c r="BL65" s="2113">
        <v>0.5</v>
      </c>
      <c r="BM65" s="2113">
        <v>1</v>
      </c>
      <c r="BO65" s="2106" t="s">
        <v>2981</v>
      </c>
      <c r="BP65" s="2110" t="s">
        <v>2807</v>
      </c>
      <c r="BQ65" s="2111" t="s">
        <v>2982</v>
      </c>
      <c r="BR65" s="2113">
        <v>0.33333333333333331</v>
      </c>
      <c r="BS65" s="2113"/>
      <c r="BT65" s="2113"/>
      <c r="BU65" s="2113"/>
      <c r="BV65" s="2113"/>
      <c r="BW65" s="2113"/>
      <c r="BX65" s="2113"/>
      <c r="BY65" s="2120"/>
      <c r="BZ65" s="2113">
        <v>0.33333333333333331</v>
      </c>
      <c r="CA65" s="2113"/>
      <c r="CB65" s="2114"/>
      <c r="CC65" s="2113">
        <v>0.5</v>
      </c>
      <c r="CD65" s="2113">
        <v>1</v>
      </c>
      <c r="CE65" s="2554"/>
    </row>
    <row r="66" spans="1:84">
      <c r="B66" s="2080" t="str">
        <f t="shared" si="45"/>
        <v>1.1.3</v>
      </c>
      <c r="C66" s="2103" t="str">
        <f t="shared" si="26"/>
        <v>バリアフリー計画</v>
      </c>
      <c r="D66" s="2093">
        <f t="shared" si="48"/>
        <v>0.33333333333333331</v>
      </c>
      <c r="E66" s="2105">
        <f t="shared" si="48"/>
        <v>0</v>
      </c>
      <c r="G66" s="2105">
        <f t="shared" si="27"/>
        <v>0.33333333333333331</v>
      </c>
      <c r="H66" s="2105">
        <f t="shared" si="28"/>
        <v>0</v>
      </c>
      <c r="I66" s="2105"/>
      <c r="J66" s="2105"/>
      <c r="K66" s="2105">
        <f>IF(スコア!M66=0,0,1)</f>
        <v>1</v>
      </c>
      <c r="L66" s="2105">
        <f>IF(スコア!O66=0,0,1)</f>
        <v>0</v>
      </c>
      <c r="M66" s="2105">
        <f t="shared" si="29"/>
        <v>0.33333333333333331</v>
      </c>
      <c r="N66" s="2105">
        <f t="shared" si="30"/>
        <v>0</v>
      </c>
      <c r="P66" s="2106" t="str">
        <f t="shared" si="6"/>
        <v>1.1.3</v>
      </c>
      <c r="Q66" s="2106" t="str">
        <f t="shared" si="7"/>
        <v xml:space="preserve"> Q2 1.1</v>
      </c>
      <c r="R66" s="2107" t="str">
        <f t="shared" si="31"/>
        <v>バリアフリー計画</v>
      </c>
      <c r="S66" s="2108">
        <f t="shared" si="32"/>
        <v>0.33333333333333331</v>
      </c>
      <c r="T66" s="2108">
        <f t="shared" si="33"/>
        <v>1</v>
      </c>
      <c r="U66" s="2108">
        <f t="shared" si="34"/>
        <v>1</v>
      </c>
      <c r="V66" s="2108">
        <f t="shared" si="35"/>
        <v>1</v>
      </c>
      <c r="W66" s="2108">
        <f t="shared" si="36"/>
        <v>1</v>
      </c>
      <c r="X66" s="2108">
        <f t="shared" si="37"/>
        <v>1</v>
      </c>
      <c r="Y66" s="2108">
        <f t="shared" si="38"/>
        <v>1</v>
      </c>
      <c r="Z66" s="2126">
        <f t="shared" si="39"/>
        <v>1</v>
      </c>
      <c r="AA66" s="2108">
        <f t="shared" si="40"/>
        <v>0.33333333333333331</v>
      </c>
      <c r="AB66" s="2108">
        <f t="shared" si="41"/>
        <v>1</v>
      </c>
      <c r="AC66" s="2109">
        <f t="shared" si="42"/>
        <v>0</v>
      </c>
      <c r="AD66" s="2108">
        <f t="shared" si="43"/>
        <v>0</v>
      </c>
      <c r="AE66" s="2108">
        <f t="shared" si="44"/>
        <v>0</v>
      </c>
      <c r="AG66" s="2106" t="s">
        <v>2983</v>
      </c>
      <c r="AH66" s="2110" t="s">
        <v>2807</v>
      </c>
      <c r="AI66" s="2111" t="s">
        <v>2809</v>
      </c>
      <c r="AJ66" s="2151">
        <v>0.33333333333333331</v>
      </c>
      <c r="AK66" s="2108">
        <v>1</v>
      </c>
      <c r="AL66" s="2108">
        <v>1</v>
      </c>
      <c r="AM66" s="2108">
        <v>1</v>
      </c>
      <c r="AN66" s="2108">
        <v>1</v>
      </c>
      <c r="AO66" s="2108">
        <v>1</v>
      </c>
      <c r="AP66" s="2108">
        <v>1</v>
      </c>
      <c r="AQ66" s="2126">
        <v>1</v>
      </c>
      <c r="AR66" s="2151">
        <v>0.33333333333333331</v>
      </c>
      <c r="AS66" s="2130">
        <v>0.5</v>
      </c>
      <c r="AT66" s="2114"/>
      <c r="AU66" s="2113"/>
      <c r="AV66" s="2113"/>
      <c r="AX66" s="2106" t="s">
        <v>2983</v>
      </c>
      <c r="AY66" s="2110" t="s">
        <v>2807</v>
      </c>
      <c r="AZ66" s="2111" t="s">
        <v>2809</v>
      </c>
      <c r="BA66" s="2113">
        <v>0.33333333333333331</v>
      </c>
      <c r="BB66" s="2113">
        <v>1</v>
      </c>
      <c r="BC66" s="2113">
        <v>1</v>
      </c>
      <c r="BD66" s="2113">
        <v>1</v>
      </c>
      <c r="BE66" s="2113">
        <v>1</v>
      </c>
      <c r="BF66" s="2113">
        <v>1</v>
      </c>
      <c r="BG66" s="2113">
        <v>1</v>
      </c>
      <c r="BH66" s="2120">
        <v>1</v>
      </c>
      <c r="BI66" s="2113">
        <v>0.33333333333333331</v>
      </c>
      <c r="BJ66" s="2113">
        <v>0.5</v>
      </c>
      <c r="BK66" s="2114"/>
      <c r="BL66" s="2113"/>
      <c r="BM66" s="2113"/>
      <c r="BO66" s="2106" t="s">
        <v>2983</v>
      </c>
      <c r="BP66" s="2110" t="s">
        <v>2807</v>
      </c>
      <c r="BQ66" s="2111" t="s">
        <v>2809</v>
      </c>
      <c r="BR66" s="2113">
        <v>0.33333333333333331</v>
      </c>
      <c r="BS66" s="2113">
        <v>1</v>
      </c>
      <c r="BT66" s="2113">
        <v>1</v>
      </c>
      <c r="BU66" s="2113">
        <v>1</v>
      </c>
      <c r="BV66" s="2113">
        <v>1</v>
      </c>
      <c r="BW66" s="2113">
        <v>1</v>
      </c>
      <c r="BX66" s="2113">
        <v>1</v>
      </c>
      <c r="BY66" s="2120">
        <v>1</v>
      </c>
      <c r="BZ66" s="2113">
        <v>0.33333333333333331</v>
      </c>
      <c r="CA66" s="2113">
        <v>1</v>
      </c>
      <c r="CB66" s="2114"/>
      <c r="CC66" s="2113"/>
      <c r="CD66" s="2113"/>
      <c r="CE66" s="2554"/>
    </row>
    <row r="67" spans="1:84">
      <c r="B67" s="2080">
        <f t="shared" si="45"/>
        <v>1.2</v>
      </c>
      <c r="C67" s="2103" t="str">
        <f t="shared" si="26"/>
        <v>心理性・快適性</v>
      </c>
      <c r="D67" s="2104">
        <f>IF(I$62=0,0,G67/I$62)</f>
        <v>0.3</v>
      </c>
      <c r="E67" s="2105">
        <f>IF(J$62=0,0,H67/J$62)</f>
        <v>0</v>
      </c>
      <c r="G67" s="2105">
        <f t="shared" si="27"/>
        <v>0.3</v>
      </c>
      <c r="H67" s="2105">
        <f t="shared" si="28"/>
        <v>0</v>
      </c>
      <c r="I67" s="2105">
        <f>G68+G69+G70</f>
        <v>1</v>
      </c>
      <c r="J67" s="2105">
        <f>H68+H69+H70</f>
        <v>0</v>
      </c>
      <c r="K67" s="2105">
        <f>IF(スコア!M67=0,0,1)</f>
        <v>1</v>
      </c>
      <c r="L67" s="2105">
        <f>IF(スコア!O67=0,0,1)</f>
        <v>0</v>
      </c>
      <c r="M67" s="2105">
        <f t="shared" si="29"/>
        <v>0.3</v>
      </c>
      <c r="N67" s="2105">
        <f t="shared" si="30"/>
        <v>0</v>
      </c>
      <c r="P67" s="2106">
        <f t="shared" si="6"/>
        <v>1.2</v>
      </c>
      <c r="Q67" s="2106" t="str">
        <f t="shared" si="7"/>
        <v xml:space="preserve"> Q2 1</v>
      </c>
      <c r="R67" s="2107" t="str">
        <f t="shared" si="31"/>
        <v>心理性・快適性</v>
      </c>
      <c r="S67" s="2108">
        <f t="shared" si="32"/>
        <v>0.3</v>
      </c>
      <c r="T67" s="2108">
        <f t="shared" si="33"/>
        <v>0.3</v>
      </c>
      <c r="U67" s="2108">
        <f t="shared" si="34"/>
        <v>0.3</v>
      </c>
      <c r="V67" s="2108">
        <f t="shared" si="35"/>
        <v>0.3</v>
      </c>
      <c r="W67" s="2108">
        <f t="shared" si="36"/>
        <v>0.3</v>
      </c>
      <c r="X67" s="2108">
        <f t="shared" si="37"/>
        <v>0.3</v>
      </c>
      <c r="Y67" s="2108">
        <f t="shared" si="38"/>
        <v>0.3</v>
      </c>
      <c r="Z67" s="2126">
        <f t="shared" si="39"/>
        <v>0.3</v>
      </c>
      <c r="AA67" s="2108">
        <f t="shared" si="40"/>
        <v>0.3</v>
      </c>
      <c r="AB67" s="2108">
        <f t="shared" si="41"/>
        <v>0.3</v>
      </c>
      <c r="AC67" s="2109">
        <f t="shared" si="42"/>
        <v>0.4</v>
      </c>
      <c r="AD67" s="2108">
        <f t="shared" si="43"/>
        <v>0.4</v>
      </c>
      <c r="AE67" s="2108">
        <f t="shared" si="44"/>
        <v>0.4</v>
      </c>
      <c r="AG67" s="2106">
        <v>1.2</v>
      </c>
      <c r="AH67" s="2110" t="s">
        <v>2805</v>
      </c>
      <c r="AI67" s="2111" t="s">
        <v>2893</v>
      </c>
      <c r="AJ67" s="2108">
        <v>0.3</v>
      </c>
      <c r="AK67" s="2108">
        <v>0.3</v>
      </c>
      <c r="AL67" s="2108">
        <v>0.3</v>
      </c>
      <c r="AM67" s="2112">
        <v>0.3</v>
      </c>
      <c r="AN67" s="2112">
        <v>0.3</v>
      </c>
      <c r="AO67" s="2108">
        <v>0.3</v>
      </c>
      <c r="AP67" s="2112">
        <v>0.3</v>
      </c>
      <c r="AQ67" s="2108">
        <v>0.3</v>
      </c>
      <c r="AR67" s="2112">
        <v>0.3</v>
      </c>
      <c r="AS67" s="2113">
        <v>0.3</v>
      </c>
      <c r="AT67" s="2113">
        <v>0.4</v>
      </c>
      <c r="AU67" s="2113">
        <v>0.4</v>
      </c>
      <c r="AV67" s="2113">
        <v>0.4</v>
      </c>
      <c r="AX67" s="2106">
        <v>1.2</v>
      </c>
      <c r="AY67" s="2110" t="s">
        <v>2805</v>
      </c>
      <c r="AZ67" s="2111" t="s">
        <v>2893</v>
      </c>
      <c r="BA67" s="2113">
        <v>0.3</v>
      </c>
      <c r="BB67" s="2113">
        <v>0.3</v>
      </c>
      <c r="BC67" s="2113">
        <v>0.3</v>
      </c>
      <c r="BD67" s="2113">
        <v>0.3</v>
      </c>
      <c r="BE67" s="2113">
        <v>0.3</v>
      </c>
      <c r="BF67" s="2113">
        <v>0.3</v>
      </c>
      <c r="BG67" s="2113">
        <v>0.3</v>
      </c>
      <c r="BH67" s="2120">
        <v>0.3</v>
      </c>
      <c r="BI67" s="2113">
        <v>0.3</v>
      </c>
      <c r="BJ67" s="2113">
        <v>0.3</v>
      </c>
      <c r="BK67" s="2113">
        <v>0.4</v>
      </c>
      <c r="BL67" s="2113">
        <v>0.4</v>
      </c>
      <c r="BM67" s="2113">
        <v>0.4</v>
      </c>
      <c r="BO67" s="2106">
        <v>1.2</v>
      </c>
      <c r="BP67" s="2110" t="s">
        <v>2805</v>
      </c>
      <c r="BQ67" s="2111" t="s">
        <v>2893</v>
      </c>
      <c r="BR67" s="2113">
        <v>0.3</v>
      </c>
      <c r="BS67" s="2113">
        <v>0.3</v>
      </c>
      <c r="BT67" s="2113">
        <v>0.3</v>
      </c>
      <c r="BU67" s="2113">
        <v>0.3</v>
      </c>
      <c r="BV67" s="2113">
        <v>0.3</v>
      </c>
      <c r="BW67" s="2113">
        <v>0.3</v>
      </c>
      <c r="BX67" s="2113">
        <v>0.3</v>
      </c>
      <c r="BY67" s="2120">
        <v>0.3</v>
      </c>
      <c r="BZ67" s="2113">
        <v>0.3</v>
      </c>
      <c r="CA67" s="2113">
        <v>0.3</v>
      </c>
      <c r="CB67" s="2113">
        <v>0.4</v>
      </c>
      <c r="CC67" s="2113">
        <v>0.4</v>
      </c>
      <c r="CD67" s="2113">
        <v>0.4</v>
      </c>
      <c r="CE67" s="2554"/>
    </row>
    <row r="68" spans="1:84">
      <c r="B68" s="2080" t="str">
        <f t="shared" si="45"/>
        <v>1.2.1</v>
      </c>
      <c r="C68" s="2103" t="str">
        <f t="shared" si="26"/>
        <v>広さ感・景観</v>
      </c>
      <c r="D68" s="2093">
        <f t="shared" ref="D68:E70" si="49">IF(I$67&gt;0,G68/I$67,0)</f>
        <v>0.33333333333333331</v>
      </c>
      <c r="E68" s="2105">
        <f t="shared" si="49"/>
        <v>0</v>
      </c>
      <c r="G68" s="2105">
        <f t="shared" si="27"/>
        <v>0.33333333333333331</v>
      </c>
      <c r="H68" s="2105">
        <f t="shared" si="28"/>
        <v>0</v>
      </c>
      <c r="I68" s="2105"/>
      <c r="J68" s="2105"/>
      <c r="K68" s="2105">
        <f>IF(スコア!M68=0,0,1)</f>
        <v>1</v>
      </c>
      <c r="L68" s="2105">
        <f>IF(スコア!O68=0,0,1)</f>
        <v>1</v>
      </c>
      <c r="M68" s="2105">
        <f t="shared" si="29"/>
        <v>0.33333333333333331</v>
      </c>
      <c r="N68" s="2105">
        <f t="shared" si="30"/>
        <v>0</v>
      </c>
      <c r="P68" s="2106" t="str">
        <f t="shared" si="6"/>
        <v>1.2.1</v>
      </c>
      <c r="Q68" s="2106" t="str">
        <f t="shared" si="7"/>
        <v xml:space="preserve"> Q2 1.2</v>
      </c>
      <c r="R68" s="2107" t="str">
        <f t="shared" si="31"/>
        <v>広さ感・景観</v>
      </c>
      <c r="S68" s="2108">
        <f t="shared" si="32"/>
        <v>0.33333333333333331</v>
      </c>
      <c r="T68" s="2108">
        <f t="shared" si="33"/>
        <v>0.5</v>
      </c>
      <c r="U68" s="2108">
        <f t="shared" si="34"/>
        <v>0.33333333333333331</v>
      </c>
      <c r="V68" s="2108">
        <f t="shared" si="35"/>
        <v>0.5</v>
      </c>
      <c r="W68" s="2108">
        <f t="shared" si="36"/>
        <v>0</v>
      </c>
      <c r="X68" s="2108">
        <f t="shared" si="37"/>
        <v>0</v>
      </c>
      <c r="Y68" s="2108">
        <f t="shared" si="38"/>
        <v>0</v>
      </c>
      <c r="Z68" s="2126">
        <f t="shared" si="39"/>
        <v>0</v>
      </c>
      <c r="AA68" s="2108">
        <f t="shared" si="40"/>
        <v>0.33333333333333331</v>
      </c>
      <c r="AB68" s="2108">
        <f t="shared" si="41"/>
        <v>0.5</v>
      </c>
      <c r="AC68" s="2109">
        <f t="shared" si="42"/>
        <v>0.5</v>
      </c>
      <c r="AD68" s="2109">
        <f t="shared" si="43"/>
        <v>0.5</v>
      </c>
      <c r="AE68" s="2109">
        <f t="shared" si="44"/>
        <v>0.5</v>
      </c>
      <c r="AG68" s="2106" t="s">
        <v>2984</v>
      </c>
      <c r="AH68" s="2110" t="s">
        <v>2810</v>
      </c>
      <c r="AI68" s="2111" t="s">
        <v>2811</v>
      </c>
      <c r="AJ68" s="2151">
        <v>0.33333333333333331</v>
      </c>
      <c r="AK68" s="2108"/>
      <c r="AL68" s="2108"/>
      <c r="AM68" s="2108"/>
      <c r="AN68" s="2108"/>
      <c r="AO68" s="2108"/>
      <c r="AP68" s="2108"/>
      <c r="AQ68" s="2126"/>
      <c r="AR68" s="2108"/>
      <c r="AS68" s="2113"/>
      <c r="AT68" s="2114"/>
      <c r="AU68" s="2114"/>
      <c r="AV68" s="2114"/>
      <c r="AX68" s="2106" t="s">
        <v>2984</v>
      </c>
      <c r="AY68" s="2110" t="s">
        <v>2810</v>
      </c>
      <c r="AZ68" s="2111" t="s">
        <v>2811</v>
      </c>
      <c r="BA68" s="2113">
        <v>0.33333333333333331</v>
      </c>
      <c r="BB68" s="2113">
        <v>0.5</v>
      </c>
      <c r="BC68" s="2113">
        <v>0.33333333333333331</v>
      </c>
      <c r="BD68" s="2113">
        <v>0.5</v>
      </c>
      <c r="BE68" s="2113"/>
      <c r="BF68" s="2113"/>
      <c r="BG68" s="2113"/>
      <c r="BH68" s="2120"/>
      <c r="BI68" s="2113">
        <v>0.33333333333333331</v>
      </c>
      <c r="BJ68" s="2113">
        <v>0.5</v>
      </c>
      <c r="BK68" s="2114">
        <v>0.5</v>
      </c>
      <c r="BL68" s="2114">
        <v>0.5</v>
      </c>
      <c r="BM68" s="2114">
        <v>0.5</v>
      </c>
      <c r="BO68" s="2106" t="s">
        <v>2984</v>
      </c>
      <c r="BP68" s="2110" t="s">
        <v>2810</v>
      </c>
      <c r="BQ68" s="2111" t="s">
        <v>2811</v>
      </c>
      <c r="BR68" s="2113">
        <v>0.33333333333333331</v>
      </c>
      <c r="BS68" s="2113">
        <v>0.5</v>
      </c>
      <c r="BT68" s="2113">
        <v>0.33333333333333331</v>
      </c>
      <c r="BU68" s="2113">
        <v>0.5</v>
      </c>
      <c r="BV68" s="2113"/>
      <c r="BW68" s="2113"/>
      <c r="BX68" s="2113"/>
      <c r="BY68" s="2120"/>
      <c r="BZ68" s="2113">
        <v>0.33333333333333331</v>
      </c>
      <c r="CA68" s="2113">
        <v>0.5</v>
      </c>
      <c r="CB68" s="2114">
        <v>0.5</v>
      </c>
      <c r="CC68" s="2114">
        <v>0.5</v>
      </c>
      <c r="CD68" s="2114">
        <v>0.5</v>
      </c>
      <c r="CE68" s="2554"/>
    </row>
    <row r="69" spans="1:84">
      <c r="B69" s="2080" t="str">
        <f t="shared" si="45"/>
        <v>1.2.2</v>
      </c>
      <c r="C69" s="2103" t="str">
        <f t="shared" si="26"/>
        <v>リフレッシュスペース</v>
      </c>
      <c r="D69" s="2093">
        <f t="shared" si="49"/>
        <v>0.33333333333333331</v>
      </c>
      <c r="E69" s="2105">
        <f t="shared" si="49"/>
        <v>0</v>
      </c>
      <c r="G69" s="2105">
        <f t="shared" si="27"/>
        <v>0.33333333333333331</v>
      </c>
      <c r="H69" s="2105">
        <f t="shared" si="28"/>
        <v>0</v>
      </c>
      <c r="I69" s="2105"/>
      <c r="J69" s="2105"/>
      <c r="K69" s="2105">
        <f>IF(スコア!M69=0,0,1)</f>
        <v>1</v>
      </c>
      <c r="L69" s="2105">
        <f>IF(スコア!O69=0,0,1)</f>
        <v>0</v>
      </c>
      <c r="M69" s="2105">
        <f t="shared" si="29"/>
        <v>0.33333333333333331</v>
      </c>
      <c r="N69" s="2105">
        <f t="shared" si="30"/>
        <v>0</v>
      </c>
      <c r="P69" s="2106" t="str">
        <f t="shared" si="6"/>
        <v>1.2.2</v>
      </c>
      <c r="Q69" s="2106" t="str">
        <f t="shared" si="7"/>
        <v xml:space="preserve"> Q2 1.2</v>
      </c>
      <c r="R69" s="2107" t="str">
        <f t="shared" si="31"/>
        <v>リフレッシュスペース</v>
      </c>
      <c r="S69" s="2108">
        <f t="shared" si="32"/>
        <v>0.33333333333333331</v>
      </c>
      <c r="T69" s="2108">
        <f t="shared" si="33"/>
        <v>0</v>
      </c>
      <c r="U69" s="2108">
        <f t="shared" si="34"/>
        <v>0.33333333333333331</v>
      </c>
      <c r="V69" s="2108">
        <f t="shared" si="35"/>
        <v>0</v>
      </c>
      <c r="W69" s="2108">
        <f t="shared" si="36"/>
        <v>0</v>
      </c>
      <c r="X69" s="2108">
        <f t="shared" si="37"/>
        <v>0</v>
      </c>
      <c r="Y69" s="2108">
        <f t="shared" si="38"/>
        <v>0</v>
      </c>
      <c r="Z69" s="2126">
        <f t="shared" si="39"/>
        <v>0</v>
      </c>
      <c r="AA69" s="2108">
        <f t="shared" si="40"/>
        <v>0.33333333333333331</v>
      </c>
      <c r="AB69" s="2108">
        <f t="shared" si="41"/>
        <v>0</v>
      </c>
      <c r="AC69" s="2109">
        <f t="shared" si="42"/>
        <v>0</v>
      </c>
      <c r="AD69" s="2109">
        <f t="shared" si="43"/>
        <v>0</v>
      </c>
      <c r="AE69" s="2109">
        <f t="shared" si="44"/>
        <v>0</v>
      </c>
      <c r="AG69" s="2106" t="s">
        <v>2985</v>
      </c>
      <c r="AH69" s="2110" t="s">
        <v>2810</v>
      </c>
      <c r="AI69" s="2111" t="s">
        <v>2812</v>
      </c>
      <c r="AJ69" s="2151">
        <v>0.33333333333333331</v>
      </c>
      <c r="AK69" s="2108"/>
      <c r="AL69" s="2108">
        <v>0.5</v>
      </c>
      <c r="AM69" s="2108"/>
      <c r="AN69" s="2108"/>
      <c r="AO69" s="2108"/>
      <c r="AP69" s="2108"/>
      <c r="AQ69" s="2126"/>
      <c r="AR69" s="2108"/>
      <c r="AS69" s="2113"/>
      <c r="AT69" s="2114"/>
      <c r="AU69" s="2114"/>
      <c r="AV69" s="2114"/>
      <c r="AX69" s="2106" t="s">
        <v>2985</v>
      </c>
      <c r="AY69" s="2110" t="s">
        <v>2810</v>
      </c>
      <c r="AZ69" s="2111" t="s">
        <v>2812</v>
      </c>
      <c r="BA69" s="2113">
        <v>0.33333333333333331</v>
      </c>
      <c r="BB69" s="2113">
        <v>0</v>
      </c>
      <c r="BC69" s="2113">
        <v>0.33333333333333331</v>
      </c>
      <c r="BD69" s="2113"/>
      <c r="BE69" s="2113"/>
      <c r="BF69" s="2113"/>
      <c r="BG69" s="2113"/>
      <c r="BH69" s="2120"/>
      <c r="BI69" s="2113">
        <v>0.33333333333333331</v>
      </c>
      <c r="BJ69" s="2113">
        <v>0</v>
      </c>
      <c r="BK69" s="2114"/>
      <c r="BL69" s="2114"/>
      <c r="BM69" s="2114"/>
      <c r="BO69" s="2106" t="s">
        <v>2985</v>
      </c>
      <c r="BP69" s="2110" t="s">
        <v>2810</v>
      </c>
      <c r="BQ69" s="2111" t="s">
        <v>2812</v>
      </c>
      <c r="BR69" s="2113">
        <v>0.33333333333333331</v>
      </c>
      <c r="BS69" s="2113"/>
      <c r="BT69" s="2113">
        <v>0.33333333333333331</v>
      </c>
      <c r="BU69" s="2113"/>
      <c r="BV69" s="2113"/>
      <c r="BW69" s="2113"/>
      <c r="BX69" s="2113"/>
      <c r="BY69" s="2120"/>
      <c r="BZ69" s="2113">
        <v>0.33333333333333331</v>
      </c>
      <c r="CA69" s="2113"/>
      <c r="CB69" s="2114"/>
      <c r="CC69" s="2114"/>
      <c r="CD69" s="2114"/>
      <c r="CE69" s="2554"/>
    </row>
    <row r="70" spans="1:84">
      <c r="B70" s="2080" t="str">
        <f t="shared" si="45"/>
        <v>1.2.3</v>
      </c>
      <c r="C70" s="2103" t="str">
        <f t="shared" si="26"/>
        <v>内装計画</v>
      </c>
      <c r="D70" s="2093">
        <f t="shared" si="49"/>
        <v>0.33333333333333331</v>
      </c>
      <c r="E70" s="2105">
        <f t="shared" si="49"/>
        <v>0</v>
      </c>
      <c r="G70" s="2105">
        <f t="shared" si="27"/>
        <v>0.33333333333333331</v>
      </c>
      <c r="H70" s="2105">
        <f t="shared" si="28"/>
        <v>0</v>
      </c>
      <c r="I70" s="2105"/>
      <c r="J70" s="2105"/>
      <c r="K70" s="2105">
        <f>IF(スコア!M70=0,0,1)</f>
        <v>1</v>
      </c>
      <c r="L70" s="2105">
        <f>IF(スコア!O70=0,0,1)</f>
        <v>0</v>
      </c>
      <c r="M70" s="2105">
        <f t="shared" si="29"/>
        <v>0.33333333333333331</v>
      </c>
      <c r="N70" s="2105">
        <f t="shared" si="30"/>
        <v>0</v>
      </c>
      <c r="P70" s="2106" t="str">
        <f t="shared" si="6"/>
        <v>1.2.3</v>
      </c>
      <c r="Q70" s="2106" t="str">
        <f t="shared" si="7"/>
        <v xml:space="preserve"> Q2 1.2</v>
      </c>
      <c r="R70" s="2107" t="str">
        <f t="shared" si="31"/>
        <v>内装計画</v>
      </c>
      <c r="S70" s="2108">
        <f t="shared" si="32"/>
        <v>0.33333333333333331</v>
      </c>
      <c r="T70" s="2108">
        <f t="shared" si="33"/>
        <v>0.5</v>
      </c>
      <c r="U70" s="2108">
        <f t="shared" si="34"/>
        <v>0.33333333333333331</v>
      </c>
      <c r="V70" s="2108">
        <f t="shared" si="35"/>
        <v>0.5</v>
      </c>
      <c r="W70" s="2108">
        <f t="shared" si="36"/>
        <v>1</v>
      </c>
      <c r="X70" s="2108">
        <f t="shared" si="37"/>
        <v>1</v>
      </c>
      <c r="Y70" s="2108">
        <f t="shared" si="38"/>
        <v>1</v>
      </c>
      <c r="Z70" s="2126">
        <f t="shared" si="39"/>
        <v>1</v>
      </c>
      <c r="AA70" s="2108">
        <f t="shared" si="40"/>
        <v>0.33333333333333331</v>
      </c>
      <c r="AB70" s="2108">
        <f t="shared" si="41"/>
        <v>0.5</v>
      </c>
      <c r="AC70" s="2109">
        <f t="shared" si="42"/>
        <v>0.5</v>
      </c>
      <c r="AD70" s="2109">
        <f t="shared" si="43"/>
        <v>0.5</v>
      </c>
      <c r="AE70" s="2109">
        <f t="shared" si="44"/>
        <v>0.5</v>
      </c>
      <c r="AG70" s="2106" t="s">
        <v>2986</v>
      </c>
      <c r="AH70" s="2110" t="s">
        <v>2810</v>
      </c>
      <c r="AI70" s="2111" t="s">
        <v>2813</v>
      </c>
      <c r="AJ70" s="2151">
        <v>0.33333333333333331</v>
      </c>
      <c r="AK70" s="2108">
        <v>1</v>
      </c>
      <c r="AL70" s="2108">
        <v>0.5</v>
      </c>
      <c r="AM70" s="2108">
        <v>1</v>
      </c>
      <c r="AN70" s="2108">
        <v>1</v>
      </c>
      <c r="AO70" s="2108">
        <v>1</v>
      </c>
      <c r="AP70" s="2108">
        <v>1</v>
      </c>
      <c r="AQ70" s="2126">
        <v>1</v>
      </c>
      <c r="AR70" s="2108">
        <v>1</v>
      </c>
      <c r="AS70" s="2113">
        <v>1</v>
      </c>
      <c r="AT70" s="2114">
        <v>1</v>
      </c>
      <c r="AU70" s="2114">
        <v>1</v>
      </c>
      <c r="AV70" s="2114">
        <v>1</v>
      </c>
      <c r="AX70" s="2106" t="s">
        <v>2986</v>
      </c>
      <c r="AY70" s="2110" t="s">
        <v>2810</v>
      </c>
      <c r="AZ70" s="2111" t="s">
        <v>2813</v>
      </c>
      <c r="BA70" s="2113">
        <v>0.33333333333333331</v>
      </c>
      <c r="BB70" s="2113">
        <v>0.5</v>
      </c>
      <c r="BC70" s="2113">
        <v>0.33333333333333331</v>
      </c>
      <c r="BD70" s="2113">
        <v>0.5</v>
      </c>
      <c r="BE70" s="2113">
        <v>1</v>
      </c>
      <c r="BF70" s="2113">
        <v>1</v>
      </c>
      <c r="BG70" s="2113">
        <v>1</v>
      </c>
      <c r="BH70" s="2120">
        <v>1</v>
      </c>
      <c r="BI70" s="2113">
        <v>0.33333333333333331</v>
      </c>
      <c r="BJ70" s="2113">
        <v>0.5</v>
      </c>
      <c r="BK70" s="2114">
        <v>0.5</v>
      </c>
      <c r="BL70" s="2114">
        <v>0.5</v>
      </c>
      <c r="BM70" s="2114">
        <v>0.5</v>
      </c>
      <c r="BO70" s="2106" t="s">
        <v>2986</v>
      </c>
      <c r="BP70" s="2110" t="s">
        <v>2810</v>
      </c>
      <c r="BQ70" s="2111" t="s">
        <v>2813</v>
      </c>
      <c r="BR70" s="2113">
        <v>0.33333333333333331</v>
      </c>
      <c r="BS70" s="2113">
        <v>0.5</v>
      </c>
      <c r="BT70" s="2113">
        <v>0.33333333333333331</v>
      </c>
      <c r="BU70" s="2113">
        <v>0.5</v>
      </c>
      <c r="BV70" s="2113">
        <v>1</v>
      </c>
      <c r="BW70" s="2113">
        <v>1</v>
      </c>
      <c r="BX70" s="2113">
        <v>1</v>
      </c>
      <c r="BY70" s="2120">
        <v>1</v>
      </c>
      <c r="BZ70" s="2113">
        <v>0.33333333333333331</v>
      </c>
      <c r="CA70" s="2113">
        <v>0.5</v>
      </c>
      <c r="CB70" s="2114">
        <v>0.5</v>
      </c>
      <c r="CC70" s="2114">
        <v>0.5</v>
      </c>
      <c r="CD70" s="2114">
        <v>0.5</v>
      </c>
      <c r="CE70" s="2554"/>
    </row>
    <row r="71" spans="1:84" s="2158" customFormat="1">
      <c r="A71"/>
      <c r="B71" s="2080">
        <f t="shared" si="45"/>
        <v>1.3</v>
      </c>
      <c r="C71" s="2103" t="str">
        <f t="shared" si="26"/>
        <v>維持管理</v>
      </c>
      <c r="D71" s="2104">
        <f>IF(I$62=0,0,G71/I$62)</f>
        <v>0.3</v>
      </c>
      <c r="E71" s="2105">
        <f>IF(J$62=0,0,H71/J$62)</f>
        <v>0</v>
      </c>
      <c r="F71"/>
      <c r="G71" s="2105">
        <f t="shared" si="27"/>
        <v>0.3</v>
      </c>
      <c r="H71" s="2105">
        <f t="shared" si="28"/>
        <v>0</v>
      </c>
      <c r="I71" s="2105">
        <f>G72+G73+G74</f>
        <v>1</v>
      </c>
      <c r="J71" s="2105">
        <f>H72+H73+H74</f>
        <v>0</v>
      </c>
      <c r="K71" s="2105">
        <f>IF(スコア!M71=0,0,1)</f>
        <v>1</v>
      </c>
      <c r="L71" s="2105">
        <f>IF(スコア!O75=0,0,1)</f>
        <v>0</v>
      </c>
      <c r="M71" s="2105">
        <f t="shared" si="29"/>
        <v>0.3</v>
      </c>
      <c r="N71" s="2105">
        <f t="shared" si="30"/>
        <v>0</v>
      </c>
      <c r="O71"/>
      <c r="P71" s="2106">
        <f t="shared" si="6"/>
        <v>1.3</v>
      </c>
      <c r="Q71" s="2106" t="str">
        <f t="shared" si="7"/>
        <v xml:space="preserve"> Q2 1</v>
      </c>
      <c r="R71" s="2107" t="str">
        <f t="shared" si="31"/>
        <v>維持管理</v>
      </c>
      <c r="S71" s="2108">
        <f t="shared" si="32"/>
        <v>0.3</v>
      </c>
      <c r="T71" s="2108">
        <f t="shared" si="33"/>
        <v>0.3</v>
      </c>
      <c r="U71" s="2108">
        <f t="shared" si="34"/>
        <v>0.3</v>
      </c>
      <c r="V71" s="2108">
        <f t="shared" si="35"/>
        <v>0.3</v>
      </c>
      <c r="W71" s="2108">
        <f t="shared" si="36"/>
        <v>0.3</v>
      </c>
      <c r="X71" s="2108">
        <f t="shared" si="37"/>
        <v>0.3</v>
      </c>
      <c r="Y71" s="2108">
        <f t="shared" si="38"/>
        <v>0.3</v>
      </c>
      <c r="Z71" s="2126">
        <f t="shared" si="39"/>
        <v>0.3</v>
      </c>
      <c r="AA71" s="2108">
        <f t="shared" si="40"/>
        <v>0.3</v>
      </c>
      <c r="AB71" s="2108">
        <f t="shared" si="41"/>
        <v>0.3</v>
      </c>
      <c r="AC71" s="2109">
        <f t="shared" si="42"/>
        <v>0</v>
      </c>
      <c r="AD71" s="2109">
        <f t="shared" si="43"/>
        <v>0</v>
      </c>
      <c r="AE71" s="2109">
        <f t="shared" si="44"/>
        <v>0</v>
      </c>
      <c r="AF71"/>
      <c r="AG71" s="2106">
        <v>1.3</v>
      </c>
      <c r="AH71" s="2110" t="s">
        <v>2805</v>
      </c>
      <c r="AI71" s="2111" t="s">
        <v>1</v>
      </c>
      <c r="AJ71" s="2151">
        <v>0.3</v>
      </c>
      <c r="AK71" s="2151">
        <v>0.3</v>
      </c>
      <c r="AL71" s="2151">
        <v>0.3</v>
      </c>
      <c r="AM71" s="2112">
        <v>0.3</v>
      </c>
      <c r="AN71" s="2112">
        <v>0.3</v>
      </c>
      <c r="AO71" s="2151">
        <v>0.3</v>
      </c>
      <c r="AP71" s="2112">
        <v>0.3</v>
      </c>
      <c r="AQ71" s="2151">
        <v>0.3</v>
      </c>
      <c r="AR71" s="2112">
        <v>0.3</v>
      </c>
      <c r="AS71" s="2113">
        <v>0.3</v>
      </c>
      <c r="AT71" s="2114">
        <v>0</v>
      </c>
      <c r="AU71" s="2114">
        <v>0</v>
      </c>
      <c r="AV71" s="2114">
        <v>0</v>
      </c>
      <c r="AW71"/>
      <c r="AX71" s="2106">
        <v>1.3</v>
      </c>
      <c r="AY71" s="2110" t="s">
        <v>2805</v>
      </c>
      <c r="AZ71" s="2111" t="s">
        <v>1</v>
      </c>
      <c r="BA71" s="2113">
        <v>0.3</v>
      </c>
      <c r="BB71" s="2113">
        <v>0.3</v>
      </c>
      <c r="BC71" s="2113">
        <v>0.3</v>
      </c>
      <c r="BD71" s="2113">
        <v>0.3</v>
      </c>
      <c r="BE71" s="2113">
        <v>0.3</v>
      </c>
      <c r="BF71" s="2113">
        <v>0.3</v>
      </c>
      <c r="BG71" s="2113">
        <v>0.3</v>
      </c>
      <c r="BH71" s="2120">
        <v>0.3</v>
      </c>
      <c r="BI71" s="2113">
        <v>0.3</v>
      </c>
      <c r="BJ71" s="2113">
        <v>0.3</v>
      </c>
      <c r="BK71" s="2114"/>
      <c r="BL71" s="2114"/>
      <c r="BM71" s="2114"/>
      <c r="BN71"/>
      <c r="BO71" s="2106">
        <v>1.3</v>
      </c>
      <c r="BP71" s="2110" t="s">
        <v>2805</v>
      </c>
      <c r="BQ71" s="2111" t="s">
        <v>1</v>
      </c>
      <c r="BR71" s="2113">
        <v>0.3</v>
      </c>
      <c r="BS71" s="2113">
        <v>0.3</v>
      </c>
      <c r="BT71" s="2113">
        <v>0.3</v>
      </c>
      <c r="BU71" s="2113">
        <v>0.3</v>
      </c>
      <c r="BV71" s="2113">
        <v>0.3</v>
      </c>
      <c r="BW71" s="2113">
        <v>0.3</v>
      </c>
      <c r="BX71" s="2113">
        <v>0.3</v>
      </c>
      <c r="BY71" s="2120">
        <v>0.3</v>
      </c>
      <c r="BZ71" s="2113">
        <v>0.3</v>
      </c>
      <c r="CA71" s="2113">
        <v>0.3</v>
      </c>
      <c r="CB71" s="2114"/>
      <c r="CC71" s="2114"/>
      <c r="CD71" s="2114"/>
      <c r="CE71" s="2554"/>
      <c r="CF71"/>
    </row>
    <row r="72" spans="1:84" s="2158" customFormat="1">
      <c r="A72"/>
      <c r="B72" s="2080" t="str">
        <f t="shared" si="45"/>
        <v>1.3.1</v>
      </c>
      <c r="C72" s="2103" t="str">
        <f t="shared" si="26"/>
        <v>維持管理に配慮した設計</v>
      </c>
      <c r="D72" s="2093">
        <f t="shared" ref="D72:E74" si="50">IF(I$71&gt;0,G72/I$71,0)</f>
        <v>0.5</v>
      </c>
      <c r="E72" s="2093">
        <f t="shared" si="50"/>
        <v>0</v>
      </c>
      <c r="F72"/>
      <c r="G72" s="2105">
        <f t="shared" si="27"/>
        <v>0.5</v>
      </c>
      <c r="H72" s="2105">
        <f t="shared" si="28"/>
        <v>0</v>
      </c>
      <c r="I72" s="2105"/>
      <c r="J72" s="2105"/>
      <c r="K72" s="2105">
        <f>IF(スコア!M72=0,0,1)</f>
        <v>1</v>
      </c>
      <c r="L72" s="2105">
        <f>IF(スコア!O76=0,0,1)</f>
        <v>0</v>
      </c>
      <c r="M72" s="2105">
        <f t="shared" si="29"/>
        <v>0.5</v>
      </c>
      <c r="N72" s="2105">
        <f t="shared" si="30"/>
        <v>0</v>
      </c>
      <c r="O72"/>
      <c r="P72" s="2106" t="str">
        <f t="shared" si="6"/>
        <v>1.3.1</v>
      </c>
      <c r="Q72" s="2106" t="str">
        <f t="shared" si="7"/>
        <v xml:space="preserve"> Q2 1.3</v>
      </c>
      <c r="R72" s="2107" t="str">
        <f t="shared" si="31"/>
        <v>維持管理に配慮した設計</v>
      </c>
      <c r="S72" s="2108">
        <f t="shared" si="32"/>
        <v>0.5</v>
      </c>
      <c r="T72" s="2108">
        <f t="shared" si="33"/>
        <v>0.5</v>
      </c>
      <c r="U72" s="2108">
        <f t="shared" si="34"/>
        <v>0.5</v>
      </c>
      <c r="V72" s="2108">
        <f t="shared" si="35"/>
        <v>0.5</v>
      </c>
      <c r="W72" s="2108">
        <f t="shared" si="36"/>
        <v>0.5</v>
      </c>
      <c r="X72" s="2108">
        <f t="shared" si="37"/>
        <v>0.5</v>
      </c>
      <c r="Y72" s="2108">
        <f t="shared" si="38"/>
        <v>0.5</v>
      </c>
      <c r="Z72" s="2126">
        <f t="shared" si="39"/>
        <v>0.5</v>
      </c>
      <c r="AA72" s="2108">
        <f t="shared" si="40"/>
        <v>0.5</v>
      </c>
      <c r="AB72" s="2108">
        <f t="shared" si="41"/>
        <v>0.5</v>
      </c>
      <c r="AC72" s="2109">
        <f t="shared" si="42"/>
        <v>0</v>
      </c>
      <c r="AD72" s="2109">
        <f t="shared" si="43"/>
        <v>0</v>
      </c>
      <c r="AE72" s="2109">
        <f t="shared" si="44"/>
        <v>0</v>
      </c>
      <c r="AF72"/>
      <c r="AG72" s="2106" t="s">
        <v>2814</v>
      </c>
      <c r="AH72" s="2110" t="s">
        <v>2237</v>
      </c>
      <c r="AI72" s="676" t="s">
        <v>2238</v>
      </c>
      <c r="AJ72" s="2151">
        <v>0.5</v>
      </c>
      <c r="AK72" s="2151">
        <v>0.5</v>
      </c>
      <c r="AL72" s="2151">
        <v>0.5</v>
      </c>
      <c r="AM72" s="2119">
        <v>0.5</v>
      </c>
      <c r="AN72" s="2119">
        <v>0.5</v>
      </c>
      <c r="AO72" s="2151">
        <v>0.5</v>
      </c>
      <c r="AP72" s="2119">
        <v>0.5</v>
      </c>
      <c r="AQ72" s="2151">
        <v>0.5</v>
      </c>
      <c r="AR72" s="2119">
        <v>0.5</v>
      </c>
      <c r="AS72" s="2113">
        <v>0.5</v>
      </c>
      <c r="AT72" s="2114">
        <v>0</v>
      </c>
      <c r="AU72" s="2114">
        <v>0</v>
      </c>
      <c r="AV72" s="2114">
        <v>0</v>
      </c>
      <c r="AW72"/>
      <c r="AX72" s="2106" t="s">
        <v>2814</v>
      </c>
      <c r="AY72" s="2110" t="s">
        <v>2237</v>
      </c>
      <c r="AZ72" s="2111" t="s">
        <v>2239</v>
      </c>
      <c r="BA72" s="2113">
        <v>0.5</v>
      </c>
      <c r="BB72" s="2113">
        <v>0.5</v>
      </c>
      <c r="BC72" s="2113">
        <v>0.5</v>
      </c>
      <c r="BD72" s="2113">
        <v>0.5</v>
      </c>
      <c r="BE72" s="2113">
        <v>0.5</v>
      </c>
      <c r="BF72" s="2113">
        <v>0.5</v>
      </c>
      <c r="BG72" s="2113">
        <v>0.5</v>
      </c>
      <c r="BH72" s="2120">
        <v>0.5</v>
      </c>
      <c r="BI72" s="2113">
        <v>0.5</v>
      </c>
      <c r="BJ72" s="2113">
        <v>0.5</v>
      </c>
      <c r="BK72" s="2114"/>
      <c r="BL72" s="2114"/>
      <c r="BM72" s="2114"/>
      <c r="BN72"/>
      <c r="BO72" s="2106" t="s">
        <v>2814</v>
      </c>
      <c r="BP72" s="2110" t="s">
        <v>2237</v>
      </c>
      <c r="BQ72" s="2111" t="s">
        <v>2239</v>
      </c>
      <c r="BR72" s="2113">
        <v>0.5</v>
      </c>
      <c r="BS72" s="2113">
        <v>0.5</v>
      </c>
      <c r="BT72" s="2113">
        <v>0.5</v>
      </c>
      <c r="BU72" s="2113">
        <v>0.5</v>
      </c>
      <c r="BV72" s="2113">
        <v>0.5</v>
      </c>
      <c r="BW72" s="2113">
        <v>0.5</v>
      </c>
      <c r="BX72" s="2113">
        <v>0.5</v>
      </c>
      <c r="BY72" s="2120">
        <v>0.5</v>
      </c>
      <c r="BZ72" s="2113">
        <v>0.5</v>
      </c>
      <c r="CA72" s="2113">
        <v>0.5</v>
      </c>
      <c r="CB72" s="2114"/>
      <c r="CC72" s="2114"/>
      <c r="CD72" s="2114"/>
      <c r="CE72" s="2554"/>
      <c r="CF72"/>
    </row>
    <row r="73" spans="1:84" s="2158" customFormat="1">
      <c r="A73"/>
      <c r="B73" s="2080" t="str">
        <f t="shared" si="45"/>
        <v>1.3.2</v>
      </c>
      <c r="C73" s="2103" t="str">
        <f t="shared" ref="C73:C104" si="51">R73</f>
        <v>維持管理用機能の確保</v>
      </c>
      <c r="D73" s="2093">
        <f t="shared" si="50"/>
        <v>0.5</v>
      </c>
      <c r="E73" s="2093">
        <f t="shared" si="50"/>
        <v>0</v>
      </c>
      <c r="F73"/>
      <c r="G73" s="2105">
        <f t="shared" ref="G73:G104" si="52">K73*M73</f>
        <v>0.5</v>
      </c>
      <c r="H73" s="2105">
        <f t="shared" ref="H73:H104" si="53">L73*N73</f>
        <v>0</v>
      </c>
      <c r="I73" s="2105"/>
      <c r="J73" s="2105"/>
      <c r="K73" s="2105">
        <f>IF(スコア!M73=0,0,1)</f>
        <v>1</v>
      </c>
      <c r="L73" s="2105">
        <f>IF(スコア!O77=0,0,1)</f>
        <v>0</v>
      </c>
      <c r="M73" s="2105">
        <f t="shared" ref="M73:M104" si="54">SUMPRODUCT($S$7:$AB$7,S73:AB73)</f>
        <v>0.5</v>
      </c>
      <c r="N73" s="2105">
        <f t="shared" ref="N73:N95" si="55">(AC$7*AC73)+(AD$7*AD73)+(AE$7*AE73)</f>
        <v>0</v>
      </c>
      <c r="O73"/>
      <c r="P73" s="2106" t="str">
        <f t="shared" ref="P73:P136" si="56">IF($P$3=1,AX73,IF($P$3=2,BO73,AG73))</f>
        <v>1.3.2</v>
      </c>
      <c r="Q73" s="2106" t="str">
        <f t="shared" ref="Q73:Q136" si="57">IF($P$3=1,AY73,IF($P$3=2,BP73,AH73))</f>
        <v xml:space="preserve"> Q2 1.3</v>
      </c>
      <c r="R73" s="2107" t="str">
        <f t="shared" ref="R73:R104" si="58">IF($P$3=1,AZ73,IF($P$3=2,BQ73,AI73))</f>
        <v>維持管理用機能の確保</v>
      </c>
      <c r="S73" s="2108">
        <f t="shared" ref="S73:S104" si="59">IF($P$3=1,BA73,IF($P$3=2,BR73,AJ73))</f>
        <v>0.5</v>
      </c>
      <c r="T73" s="2108">
        <f t="shared" ref="T73:T104" si="60">IF($P$3=1,BB73,IF($P$3=2,BS73,AK73))</f>
        <v>0.5</v>
      </c>
      <c r="U73" s="2108">
        <f t="shared" ref="U73:U104" si="61">IF($P$3=1,BC73,IF($P$3=2,BT73,AL73))</f>
        <v>0.5</v>
      </c>
      <c r="V73" s="2108">
        <f t="shared" ref="V73:V104" si="62">IF($P$3=1,BD73,IF($P$3=2,BU73,AM73))</f>
        <v>0.5</v>
      </c>
      <c r="W73" s="2108">
        <f t="shared" ref="W73:W104" si="63">IF($P$3=1,BE73,IF($P$3=2,BV73,AN73))</f>
        <v>0.5</v>
      </c>
      <c r="X73" s="2108">
        <f t="shared" ref="X73:X104" si="64">IF($P$3=1,BF73,IF($P$3=2,BW73,AO73))</f>
        <v>0.5</v>
      </c>
      <c r="Y73" s="2108">
        <f t="shared" ref="Y73:Y104" si="65">IF($P$3=1,BG73,IF($P$3=2,BX73,AP73))</f>
        <v>0.5</v>
      </c>
      <c r="Z73" s="2126">
        <f t="shared" ref="Z73:Z104" si="66">IF($P$3=1,BH73,IF($P$3=2,BY73,AQ73))</f>
        <v>0.5</v>
      </c>
      <c r="AA73" s="2108">
        <f t="shared" ref="AA73:AA104" si="67">IF($P$3=1,BI73,IF($P$3=2,BZ73,AR73))</f>
        <v>0.5</v>
      </c>
      <c r="AB73" s="2108">
        <f t="shared" ref="AB73:AB104" si="68">IF($P$3=1,BJ73,IF($P$3=2,CA73,AS73))</f>
        <v>0.5</v>
      </c>
      <c r="AC73" s="2109">
        <f t="shared" ref="AC73:AC104" si="69">IF($P$3=1,BK73,IF($P$3=2,CB73,AT73))</f>
        <v>0</v>
      </c>
      <c r="AD73" s="2109">
        <f t="shared" ref="AD73:AD104" si="70">IF($P$3=1,BL73,IF($P$3=2,CC73,AU73))</f>
        <v>0</v>
      </c>
      <c r="AE73" s="2109">
        <f t="shared" ref="AE73:AE104" si="71">IF($P$3=1,BM73,IF($P$3=2,CD73,AV73))</f>
        <v>0</v>
      </c>
      <c r="AF73"/>
      <c r="AG73" s="2106" t="s">
        <v>2240</v>
      </c>
      <c r="AH73" s="2110" t="s">
        <v>2237</v>
      </c>
      <c r="AI73" s="676" t="s">
        <v>2241</v>
      </c>
      <c r="AJ73" s="2151">
        <v>0.3</v>
      </c>
      <c r="AK73" s="2151">
        <v>0.3</v>
      </c>
      <c r="AL73" s="2151">
        <v>0.3</v>
      </c>
      <c r="AM73" s="2119">
        <v>0.3</v>
      </c>
      <c r="AN73" s="2119">
        <v>0.3</v>
      </c>
      <c r="AO73" s="2151">
        <v>0.3</v>
      </c>
      <c r="AP73" s="2119">
        <v>0.3</v>
      </c>
      <c r="AQ73" s="2151">
        <v>0.3</v>
      </c>
      <c r="AR73" s="2119">
        <v>0.3</v>
      </c>
      <c r="AS73" s="2113">
        <v>0.3</v>
      </c>
      <c r="AT73" s="2114">
        <v>0</v>
      </c>
      <c r="AU73" s="2114">
        <v>0</v>
      </c>
      <c r="AV73" s="2114">
        <v>0</v>
      </c>
      <c r="AW73"/>
      <c r="AX73" s="2106" t="s">
        <v>2240</v>
      </c>
      <c r="AY73" s="2110" t="s">
        <v>2237</v>
      </c>
      <c r="AZ73" s="2111" t="s">
        <v>2242</v>
      </c>
      <c r="BA73" s="2113">
        <v>0.5</v>
      </c>
      <c r="BB73" s="2113">
        <v>0.5</v>
      </c>
      <c r="BC73" s="2113">
        <v>0.5</v>
      </c>
      <c r="BD73" s="2113">
        <v>0.5</v>
      </c>
      <c r="BE73" s="2113">
        <v>0.5</v>
      </c>
      <c r="BF73" s="2113">
        <v>0.5</v>
      </c>
      <c r="BG73" s="2113">
        <v>0.5</v>
      </c>
      <c r="BH73" s="2120">
        <v>0.5</v>
      </c>
      <c r="BI73" s="2113">
        <v>0.5</v>
      </c>
      <c r="BJ73" s="2113">
        <v>0.5</v>
      </c>
      <c r="BK73" s="2114"/>
      <c r="BL73" s="2114"/>
      <c r="BM73" s="2114"/>
      <c r="BN73"/>
      <c r="BO73" s="2106" t="s">
        <v>2240</v>
      </c>
      <c r="BP73" s="2110" t="s">
        <v>2237</v>
      </c>
      <c r="BQ73" s="2111" t="s">
        <v>2242</v>
      </c>
      <c r="BR73" s="2113">
        <v>0.5</v>
      </c>
      <c r="BS73" s="2113">
        <v>0.5</v>
      </c>
      <c r="BT73" s="2113">
        <v>0.5</v>
      </c>
      <c r="BU73" s="2113">
        <v>0.5</v>
      </c>
      <c r="BV73" s="2113">
        <v>0.5</v>
      </c>
      <c r="BW73" s="2113">
        <v>0.5</v>
      </c>
      <c r="BX73" s="2113">
        <v>0.5</v>
      </c>
      <c r="BY73" s="2120">
        <v>0.5</v>
      </c>
      <c r="BZ73" s="2113">
        <v>0.5</v>
      </c>
      <c r="CA73" s="2113">
        <v>0.5</v>
      </c>
      <c r="CB73" s="2114"/>
      <c r="CC73" s="2114"/>
      <c r="CD73" s="2114"/>
      <c r="CE73" s="2554"/>
      <c r="CF73"/>
    </row>
    <row r="74" spans="1:84" s="2158" customFormat="1" hidden="1">
      <c r="A74"/>
      <c r="B74" s="2080">
        <f t="shared" si="45"/>
        <v>0</v>
      </c>
      <c r="C74" s="2103">
        <f t="shared" si="51"/>
        <v>0</v>
      </c>
      <c r="D74" s="2093">
        <f t="shared" si="50"/>
        <v>0</v>
      </c>
      <c r="E74" s="2093">
        <f t="shared" si="50"/>
        <v>0</v>
      </c>
      <c r="F74"/>
      <c r="G74" s="2105">
        <f t="shared" si="52"/>
        <v>0</v>
      </c>
      <c r="H74" s="2105">
        <f t="shared" si="53"/>
        <v>0</v>
      </c>
      <c r="I74" s="2105"/>
      <c r="J74" s="2105"/>
      <c r="K74" s="2105">
        <f>IF(スコア!M74=0,0,1)</f>
        <v>0</v>
      </c>
      <c r="L74" s="2105">
        <f>IF(スコア!O78=0,0,1)</f>
        <v>0</v>
      </c>
      <c r="M74" s="2105">
        <f t="shared" si="54"/>
        <v>0</v>
      </c>
      <c r="N74" s="2105">
        <f t="shared" si="55"/>
        <v>0</v>
      </c>
      <c r="O74"/>
      <c r="P74" s="2106">
        <f t="shared" si="56"/>
        <v>0</v>
      </c>
      <c r="Q74" s="2106" t="str">
        <f t="shared" si="57"/>
        <v>0</v>
      </c>
      <c r="R74" s="2107">
        <f t="shared" si="58"/>
        <v>0</v>
      </c>
      <c r="S74" s="2108">
        <f t="shared" si="59"/>
        <v>0</v>
      </c>
      <c r="T74" s="2108">
        <f t="shared" si="60"/>
        <v>0</v>
      </c>
      <c r="U74" s="2108">
        <f t="shared" si="61"/>
        <v>0</v>
      </c>
      <c r="V74" s="2108">
        <f t="shared" si="62"/>
        <v>0</v>
      </c>
      <c r="W74" s="2108">
        <f t="shared" si="63"/>
        <v>0</v>
      </c>
      <c r="X74" s="2108">
        <f t="shared" si="64"/>
        <v>0</v>
      </c>
      <c r="Y74" s="2108">
        <f t="shared" si="65"/>
        <v>0</v>
      </c>
      <c r="Z74" s="2126">
        <f t="shared" si="66"/>
        <v>0</v>
      </c>
      <c r="AA74" s="2108">
        <f t="shared" si="67"/>
        <v>0</v>
      </c>
      <c r="AB74" s="2108">
        <f t="shared" si="68"/>
        <v>0</v>
      </c>
      <c r="AC74" s="2109">
        <f t="shared" si="69"/>
        <v>0</v>
      </c>
      <c r="AD74" s="2109">
        <f t="shared" si="70"/>
        <v>0</v>
      </c>
      <c r="AE74" s="2109">
        <f t="shared" si="71"/>
        <v>0</v>
      </c>
      <c r="AF74"/>
      <c r="AG74" s="2106" t="s">
        <v>2243</v>
      </c>
      <c r="AH74" s="2110" t="s">
        <v>2987</v>
      </c>
      <c r="AI74" s="676" t="s">
        <v>4</v>
      </c>
      <c r="AJ74" s="2151">
        <v>0.2</v>
      </c>
      <c r="AK74" s="2151">
        <v>0.2</v>
      </c>
      <c r="AL74" s="2151">
        <v>0.2</v>
      </c>
      <c r="AM74" s="2119">
        <v>0.2</v>
      </c>
      <c r="AN74" s="2119">
        <v>0.2</v>
      </c>
      <c r="AO74" s="2151">
        <v>0.2</v>
      </c>
      <c r="AP74" s="2119">
        <v>0.2</v>
      </c>
      <c r="AQ74" s="2151">
        <v>0.2</v>
      </c>
      <c r="AR74" s="2119">
        <v>0.2</v>
      </c>
      <c r="AS74" s="2113">
        <v>0.2</v>
      </c>
      <c r="AT74" s="2114">
        <v>0</v>
      </c>
      <c r="AU74" s="2114">
        <v>0</v>
      </c>
      <c r="AV74" s="2114">
        <v>0</v>
      </c>
      <c r="AW74"/>
      <c r="AX74" s="2106">
        <v>0</v>
      </c>
      <c r="AY74" s="2110" t="s">
        <v>2988</v>
      </c>
      <c r="AZ74" s="2111"/>
      <c r="BA74" s="2113"/>
      <c r="BB74" s="2113"/>
      <c r="BC74" s="2113"/>
      <c r="BD74" s="2113"/>
      <c r="BE74" s="2113"/>
      <c r="BF74" s="2113"/>
      <c r="BG74" s="2113"/>
      <c r="BH74" s="2159"/>
      <c r="BI74" s="2113"/>
      <c r="BJ74" s="2113"/>
      <c r="BK74" s="2114"/>
      <c r="BL74" s="2114"/>
      <c r="BM74" s="2114"/>
      <c r="BN74"/>
      <c r="BO74" s="2106">
        <v>0</v>
      </c>
      <c r="BP74" s="2110" t="s">
        <v>2988</v>
      </c>
      <c r="BQ74" s="2111"/>
      <c r="BR74" s="2113"/>
      <c r="BS74" s="2113"/>
      <c r="BT74" s="2113"/>
      <c r="BU74" s="2113"/>
      <c r="BV74" s="2113"/>
      <c r="BW74" s="2113"/>
      <c r="BX74" s="2113"/>
      <c r="BY74" s="2159"/>
      <c r="BZ74" s="2113"/>
      <c r="CA74" s="2113"/>
      <c r="CB74" s="2114"/>
      <c r="CC74" s="2114"/>
      <c r="CD74" s="2114"/>
      <c r="CE74" s="2554"/>
      <c r="CF74"/>
    </row>
    <row r="75" spans="1:84" s="1485" customFormat="1">
      <c r="A75"/>
      <c r="B75" s="2080">
        <f t="shared" ref="B75:B106" si="72">P75</f>
        <v>2</v>
      </c>
      <c r="C75" s="2121" t="str">
        <f t="shared" si="51"/>
        <v>耐用性・信頼性</v>
      </c>
      <c r="D75" s="2091">
        <f>IF(I$61=0,0,G75/I$61)</f>
        <v>0.3</v>
      </c>
      <c r="E75" s="2092">
        <f>IF(J$61=0,0,H75/J$61)</f>
        <v>0</v>
      </c>
      <c r="F75"/>
      <c r="G75" s="2092">
        <f t="shared" si="52"/>
        <v>0.3</v>
      </c>
      <c r="H75" s="2092">
        <f t="shared" si="53"/>
        <v>0</v>
      </c>
      <c r="I75" s="2092">
        <f>G76+G79++G86+G90</f>
        <v>1</v>
      </c>
      <c r="J75" s="2092">
        <f>H76+H79++H86+H90</f>
        <v>0</v>
      </c>
      <c r="K75" s="2092">
        <f>IF(スコア!M75=0,0,1)</f>
        <v>1</v>
      </c>
      <c r="L75" s="2092">
        <f>IF(スコア!O75=0,0,1)</f>
        <v>0</v>
      </c>
      <c r="M75" s="2092">
        <f t="shared" si="54"/>
        <v>0.3</v>
      </c>
      <c r="N75" s="2092">
        <f t="shared" si="55"/>
        <v>0</v>
      </c>
      <c r="O75"/>
      <c r="P75" s="2094">
        <f t="shared" si="56"/>
        <v>2</v>
      </c>
      <c r="Q75" s="2094" t="str">
        <f t="shared" si="57"/>
        <v xml:space="preserve"> Q2</v>
      </c>
      <c r="R75" s="2095" t="str">
        <f t="shared" si="58"/>
        <v>耐用性・信頼性</v>
      </c>
      <c r="S75" s="2096">
        <f t="shared" si="59"/>
        <v>0.3</v>
      </c>
      <c r="T75" s="2096">
        <f t="shared" si="60"/>
        <v>0.3</v>
      </c>
      <c r="U75" s="2096">
        <f t="shared" si="61"/>
        <v>0.3</v>
      </c>
      <c r="V75" s="2096">
        <f t="shared" si="62"/>
        <v>0.3</v>
      </c>
      <c r="W75" s="2096">
        <f t="shared" si="63"/>
        <v>0.3</v>
      </c>
      <c r="X75" s="2096">
        <f t="shared" si="64"/>
        <v>0.3</v>
      </c>
      <c r="Y75" s="2096">
        <f t="shared" si="65"/>
        <v>0.3</v>
      </c>
      <c r="Z75" s="2160">
        <f t="shared" si="66"/>
        <v>0.3</v>
      </c>
      <c r="AA75" s="2096">
        <f t="shared" si="67"/>
        <v>0.3</v>
      </c>
      <c r="AB75" s="2096">
        <f t="shared" si="68"/>
        <v>0.3</v>
      </c>
      <c r="AC75" s="2098">
        <f t="shared" si="69"/>
        <v>0</v>
      </c>
      <c r="AD75" s="2096">
        <f t="shared" si="70"/>
        <v>0</v>
      </c>
      <c r="AE75" s="2096">
        <f t="shared" si="71"/>
        <v>0</v>
      </c>
      <c r="AF75"/>
      <c r="AG75" s="2094">
        <v>2</v>
      </c>
      <c r="AH75" s="2099" t="s">
        <v>2803</v>
      </c>
      <c r="AI75" s="2123" t="s">
        <v>2244</v>
      </c>
      <c r="AJ75" s="2096">
        <v>0.3</v>
      </c>
      <c r="AK75" s="2096">
        <v>0.3</v>
      </c>
      <c r="AL75" s="2096">
        <v>0.3</v>
      </c>
      <c r="AM75" s="2096">
        <v>0.3</v>
      </c>
      <c r="AN75" s="2096">
        <v>0.3</v>
      </c>
      <c r="AO75" s="2096">
        <v>0.3</v>
      </c>
      <c r="AP75" s="2096">
        <v>0.3</v>
      </c>
      <c r="AQ75" s="2160">
        <v>0.3</v>
      </c>
      <c r="AR75" s="2096">
        <v>0.3</v>
      </c>
      <c r="AS75" s="2100">
        <v>0.3</v>
      </c>
      <c r="AT75" s="2101">
        <v>0</v>
      </c>
      <c r="AU75" s="2100">
        <v>0</v>
      </c>
      <c r="AV75" s="2100">
        <v>0</v>
      </c>
      <c r="AW75"/>
      <c r="AX75" s="2094">
        <v>2</v>
      </c>
      <c r="AY75" s="2099" t="s">
        <v>2803</v>
      </c>
      <c r="AZ75" s="2123" t="s">
        <v>2196</v>
      </c>
      <c r="BA75" s="2100">
        <v>0.3</v>
      </c>
      <c r="BB75" s="2100">
        <v>0.3</v>
      </c>
      <c r="BC75" s="2100">
        <v>0.3</v>
      </c>
      <c r="BD75" s="2100">
        <v>0.3</v>
      </c>
      <c r="BE75" s="2100">
        <v>0.3</v>
      </c>
      <c r="BF75" s="2100">
        <v>0.3</v>
      </c>
      <c r="BG75" s="2100">
        <v>0.3</v>
      </c>
      <c r="BH75" s="2161">
        <v>0.3</v>
      </c>
      <c r="BI75" s="2100">
        <v>0.3</v>
      </c>
      <c r="BJ75" s="2100">
        <v>0.3</v>
      </c>
      <c r="BK75" s="2101"/>
      <c r="BL75" s="2100"/>
      <c r="BM75" s="2100"/>
      <c r="BN75"/>
      <c r="BO75" s="2094">
        <v>2</v>
      </c>
      <c r="BP75" s="2099" t="s">
        <v>2803</v>
      </c>
      <c r="BQ75" s="2123" t="s">
        <v>2244</v>
      </c>
      <c r="BR75" s="2100">
        <v>0.3</v>
      </c>
      <c r="BS75" s="2100">
        <v>0.3</v>
      </c>
      <c r="BT75" s="2100">
        <v>0.3</v>
      </c>
      <c r="BU75" s="2100">
        <v>0.3</v>
      </c>
      <c r="BV75" s="2100">
        <v>0.3</v>
      </c>
      <c r="BW75" s="2100">
        <v>0.3</v>
      </c>
      <c r="BX75" s="2100">
        <v>0.3</v>
      </c>
      <c r="BY75" s="2100">
        <v>0.3</v>
      </c>
      <c r="BZ75" s="2100">
        <v>0.3</v>
      </c>
      <c r="CA75" s="2100">
        <v>0.3</v>
      </c>
      <c r="CB75" s="2101"/>
      <c r="CC75" s="2100"/>
      <c r="CD75" s="2100"/>
      <c r="CE75" s="2553"/>
      <c r="CF75"/>
    </row>
    <row r="76" spans="1:84">
      <c r="B76" s="2080">
        <f t="shared" si="72"/>
        <v>2.1</v>
      </c>
      <c r="C76" s="2107" t="str">
        <f t="shared" si="51"/>
        <v>耐震･免震</v>
      </c>
      <c r="D76" s="2104">
        <f>IF(I$75=0,0,G76/I$75)</f>
        <v>0.5</v>
      </c>
      <c r="E76" s="2105">
        <f>IF(J$75=0,0,H76/J$75)</f>
        <v>0</v>
      </c>
      <c r="G76" s="2105">
        <f t="shared" si="52"/>
        <v>0.5</v>
      </c>
      <c r="H76" s="2105">
        <f t="shared" si="53"/>
        <v>0</v>
      </c>
      <c r="I76" s="2105">
        <f>SUM(G77:G78)</f>
        <v>1</v>
      </c>
      <c r="J76" s="2105">
        <f>SUM(H77:H78)</f>
        <v>0</v>
      </c>
      <c r="K76" s="2105">
        <f>IF(スコア!M76=0,0,1)</f>
        <v>1</v>
      </c>
      <c r="L76" s="2105">
        <f>IF(スコア!O76=0,0,1)</f>
        <v>0</v>
      </c>
      <c r="M76" s="2105">
        <f t="shared" si="54"/>
        <v>0.5</v>
      </c>
      <c r="N76" s="2105">
        <f t="shared" si="55"/>
        <v>0</v>
      </c>
      <c r="P76" s="2106">
        <f t="shared" si="56"/>
        <v>2.1</v>
      </c>
      <c r="Q76" s="2106" t="str">
        <f t="shared" si="57"/>
        <v xml:space="preserve"> Q2 2</v>
      </c>
      <c r="R76" s="2107" t="str">
        <f t="shared" si="58"/>
        <v>耐震･免震</v>
      </c>
      <c r="S76" s="2108">
        <f t="shared" si="59"/>
        <v>0.5</v>
      </c>
      <c r="T76" s="2108">
        <f t="shared" si="60"/>
        <v>0.5</v>
      </c>
      <c r="U76" s="2108">
        <f t="shared" si="61"/>
        <v>0.5</v>
      </c>
      <c r="V76" s="2108">
        <f t="shared" si="62"/>
        <v>0.5</v>
      </c>
      <c r="W76" s="2108">
        <f t="shared" si="63"/>
        <v>0.5</v>
      </c>
      <c r="X76" s="2108">
        <f t="shared" si="64"/>
        <v>0.5</v>
      </c>
      <c r="Y76" s="2108">
        <f t="shared" si="65"/>
        <v>0.5</v>
      </c>
      <c r="Z76" s="2117">
        <f t="shared" si="66"/>
        <v>0.5</v>
      </c>
      <c r="AA76" s="2108">
        <f t="shared" si="67"/>
        <v>0.5</v>
      </c>
      <c r="AB76" s="2108">
        <f t="shared" si="68"/>
        <v>0.5</v>
      </c>
      <c r="AC76" s="2109">
        <f t="shared" si="69"/>
        <v>0</v>
      </c>
      <c r="AD76" s="2108">
        <f t="shared" si="70"/>
        <v>0</v>
      </c>
      <c r="AE76" s="2108">
        <f t="shared" si="71"/>
        <v>0</v>
      </c>
      <c r="AG76" s="2106">
        <v>2.1</v>
      </c>
      <c r="AH76" s="2110" t="s">
        <v>2245</v>
      </c>
      <c r="AI76" s="2107" t="s">
        <v>2410</v>
      </c>
      <c r="AJ76" s="2108">
        <v>0.25</v>
      </c>
      <c r="AK76" s="2108">
        <v>0.25</v>
      </c>
      <c r="AL76" s="2108">
        <v>0.25</v>
      </c>
      <c r="AM76" s="2108">
        <v>0.25</v>
      </c>
      <c r="AN76" s="2108">
        <v>0.25</v>
      </c>
      <c r="AO76" s="2108">
        <v>0.25</v>
      </c>
      <c r="AP76" s="2108">
        <v>0.25</v>
      </c>
      <c r="AQ76" s="2117">
        <v>0.25</v>
      </c>
      <c r="AR76" s="2108">
        <v>0.25</v>
      </c>
      <c r="AS76" s="2113">
        <v>0.25</v>
      </c>
      <c r="AT76" s="2114">
        <v>0</v>
      </c>
      <c r="AU76" s="2113">
        <v>0</v>
      </c>
      <c r="AV76" s="2113">
        <v>0</v>
      </c>
      <c r="AX76" s="2106">
        <v>2.1</v>
      </c>
      <c r="AY76" s="2110" t="s">
        <v>2245</v>
      </c>
      <c r="AZ76" s="2107" t="s">
        <v>2197</v>
      </c>
      <c r="BA76" s="2113">
        <v>0.5</v>
      </c>
      <c r="BB76" s="2113">
        <v>0.5</v>
      </c>
      <c r="BC76" s="2113">
        <v>0.5</v>
      </c>
      <c r="BD76" s="2113">
        <v>0.5</v>
      </c>
      <c r="BE76" s="2113">
        <v>0.5</v>
      </c>
      <c r="BF76" s="2113">
        <v>0.5</v>
      </c>
      <c r="BG76" s="2113">
        <v>0.5</v>
      </c>
      <c r="BH76" s="2120">
        <v>0.5</v>
      </c>
      <c r="BI76" s="2113">
        <v>0.5</v>
      </c>
      <c r="BJ76" s="2113">
        <v>0.5</v>
      </c>
      <c r="BK76" s="2114"/>
      <c r="BL76" s="2113"/>
      <c r="BM76" s="2113"/>
      <c r="BO76" s="2106">
        <v>2.1</v>
      </c>
      <c r="BP76" s="2110" t="s">
        <v>2245</v>
      </c>
      <c r="BQ76" s="2107" t="s">
        <v>2410</v>
      </c>
      <c r="BR76" s="2113">
        <v>0.5</v>
      </c>
      <c r="BS76" s="2113">
        <v>0.5</v>
      </c>
      <c r="BT76" s="2113">
        <v>0.5</v>
      </c>
      <c r="BU76" s="2113">
        <v>0.5</v>
      </c>
      <c r="BV76" s="2113">
        <v>0.5</v>
      </c>
      <c r="BW76" s="2113">
        <v>0.5</v>
      </c>
      <c r="BX76" s="2113">
        <v>0.5</v>
      </c>
      <c r="BY76" s="2120">
        <v>0.5</v>
      </c>
      <c r="BZ76" s="2113">
        <v>0.5</v>
      </c>
      <c r="CA76" s="2113">
        <v>0.5</v>
      </c>
      <c r="CB76" s="2114"/>
      <c r="CC76" s="2113"/>
      <c r="CD76" s="2113"/>
      <c r="CE76" s="2554"/>
    </row>
    <row r="77" spans="1:84">
      <c r="B77" s="2080" t="str">
        <f t="shared" si="72"/>
        <v>2.1.1</v>
      </c>
      <c r="C77" s="2103" t="str">
        <f t="shared" si="51"/>
        <v>耐震性</v>
      </c>
      <c r="D77" s="2093">
        <f>IF(I$76&gt;0,G77/I$76,0)</f>
        <v>0.8</v>
      </c>
      <c r="E77" s="2105">
        <f>IF(J$76&gt;0,H77/J$76,0)</f>
        <v>0</v>
      </c>
      <c r="G77" s="2105">
        <f t="shared" si="52"/>
        <v>0.8</v>
      </c>
      <c r="H77" s="2105">
        <f t="shared" si="53"/>
        <v>0</v>
      </c>
      <c r="I77" s="2105"/>
      <c r="J77" s="2105"/>
      <c r="K77" s="2105">
        <f>IF(スコア!M77=0,0,1)</f>
        <v>1</v>
      </c>
      <c r="L77" s="2105">
        <f>IF(スコア!O77=0,0,1)</f>
        <v>0</v>
      </c>
      <c r="M77" s="2105">
        <f t="shared" si="54"/>
        <v>0.8</v>
      </c>
      <c r="N77" s="2105">
        <f t="shared" si="55"/>
        <v>0</v>
      </c>
      <c r="P77" s="2106" t="str">
        <f t="shared" si="56"/>
        <v>2.1.1</v>
      </c>
      <c r="Q77" s="2106" t="str">
        <f t="shared" si="57"/>
        <v xml:space="preserve"> Q2 2.1</v>
      </c>
      <c r="R77" s="2107" t="str">
        <f t="shared" si="58"/>
        <v>耐震性</v>
      </c>
      <c r="S77" s="2108">
        <f t="shared" si="59"/>
        <v>0.8</v>
      </c>
      <c r="T77" s="2108">
        <f t="shared" si="60"/>
        <v>0.8</v>
      </c>
      <c r="U77" s="2108">
        <f t="shared" si="61"/>
        <v>0.8</v>
      </c>
      <c r="V77" s="2108">
        <f t="shared" si="62"/>
        <v>0.8</v>
      </c>
      <c r="W77" s="2108">
        <f t="shared" si="63"/>
        <v>0.8</v>
      </c>
      <c r="X77" s="2108">
        <f t="shared" si="64"/>
        <v>0.8</v>
      </c>
      <c r="Y77" s="2108">
        <f t="shared" si="65"/>
        <v>0.8</v>
      </c>
      <c r="Z77" s="2117">
        <f t="shared" si="66"/>
        <v>0.8</v>
      </c>
      <c r="AA77" s="2108">
        <f t="shared" si="67"/>
        <v>0.8</v>
      </c>
      <c r="AB77" s="2108">
        <f t="shared" si="68"/>
        <v>0.8</v>
      </c>
      <c r="AC77" s="2109">
        <f t="shared" si="69"/>
        <v>0</v>
      </c>
      <c r="AD77" s="2108">
        <f t="shared" si="70"/>
        <v>0</v>
      </c>
      <c r="AE77" s="2108">
        <f t="shared" si="71"/>
        <v>0</v>
      </c>
      <c r="AG77" s="2106" t="s">
        <v>2989</v>
      </c>
      <c r="AH77" s="2110" t="s">
        <v>2246</v>
      </c>
      <c r="AI77" s="2111" t="s">
        <v>2247</v>
      </c>
      <c r="AJ77" s="2108">
        <v>0.8</v>
      </c>
      <c r="AK77" s="2108">
        <v>0.8</v>
      </c>
      <c r="AL77" s="2108">
        <v>0.8</v>
      </c>
      <c r="AM77" s="2108">
        <v>0.8</v>
      </c>
      <c r="AN77" s="2108">
        <v>0.8</v>
      </c>
      <c r="AO77" s="2108">
        <v>0.8</v>
      </c>
      <c r="AP77" s="2108">
        <v>0.8</v>
      </c>
      <c r="AQ77" s="2117">
        <v>0.8</v>
      </c>
      <c r="AR77" s="2108">
        <v>0.8</v>
      </c>
      <c r="AS77" s="2113">
        <v>0.8</v>
      </c>
      <c r="AT77" s="2114">
        <v>0</v>
      </c>
      <c r="AU77" s="2113">
        <v>0</v>
      </c>
      <c r="AV77" s="2113">
        <v>0</v>
      </c>
      <c r="AX77" s="2106" t="s">
        <v>2989</v>
      </c>
      <c r="AY77" s="2110" t="s">
        <v>2246</v>
      </c>
      <c r="AZ77" s="2111" t="s">
        <v>2247</v>
      </c>
      <c r="BA77" s="2113">
        <v>0.8</v>
      </c>
      <c r="BB77" s="2113">
        <v>0.8</v>
      </c>
      <c r="BC77" s="2113">
        <v>0.8</v>
      </c>
      <c r="BD77" s="2113">
        <v>0.8</v>
      </c>
      <c r="BE77" s="2113">
        <v>0.8</v>
      </c>
      <c r="BF77" s="2113">
        <v>0.8</v>
      </c>
      <c r="BG77" s="2113">
        <v>0.8</v>
      </c>
      <c r="BH77" s="2120">
        <v>0.8</v>
      </c>
      <c r="BI77" s="2113">
        <v>0.8</v>
      </c>
      <c r="BJ77" s="2113">
        <v>0.8</v>
      </c>
      <c r="BK77" s="2114"/>
      <c r="BL77" s="2113"/>
      <c r="BM77" s="2113"/>
      <c r="BO77" s="2106" t="s">
        <v>2989</v>
      </c>
      <c r="BP77" s="2110" t="s">
        <v>2246</v>
      </c>
      <c r="BQ77" s="2111" t="s">
        <v>2247</v>
      </c>
      <c r="BR77" s="2113">
        <v>0.8</v>
      </c>
      <c r="BS77" s="2113">
        <v>0.8</v>
      </c>
      <c r="BT77" s="2113">
        <v>0.8</v>
      </c>
      <c r="BU77" s="2113">
        <v>0.8</v>
      </c>
      <c r="BV77" s="2113">
        <v>0.8</v>
      </c>
      <c r="BW77" s="2113">
        <v>0.8</v>
      </c>
      <c r="BX77" s="2113">
        <v>0.8</v>
      </c>
      <c r="BY77" s="2120">
        <v>0.8</v>
      </c>
      <c r="BZ77" s="2113">
        <v>0.8</v>
      </c>
      <c r="CA77" s="2113">
        <v>0.8</v>
      </c>
      <c r="CB77" s="2114"/>
      <c r="CC77" s="2113"/>
      <c r="CD77" s="2113"/>
      <c r="CE77" s="2554"/>
    </row>
    <row r="78" spans="1:84">
      <c r="B78" s="2080" t="str">
        <f t="shared" si="72"/>
        <v>2.1.2</v>
      </c>
      <c r="C78" s="2103" t="str">
        <f t="shared" si="51"/>
        <v>免震・制振性能</v>
      </c>
      <c r="D78" s="2093">
        <f>IF(I$76&gt;0,G78/I$76,0)</f>
        <v>0.2</v>
      </c>
      <c r="E78" s="2105">
        <f>IF(J$76&gt;0,H78/J$76,0)</f>
        <v>0</v>
      </c>
      <c r="G78" s="2105">
        <f t="shared" si="52"/>
        <v>0.2</v>
      </c>
      <c r="H78" s="2105">
        <f t="shared" si="53"/>
        <v>0</v>
      </c>
      <c r="I78" s="2105"/>
      <c r="J78" s="2105"/>
      <c r="K78" s="2105">
        <f>IF(スコア!M78=0,0,1)</f>
        <v>1</v>
      </c>
      <c r="L78" s="2105">
        <f>IF(スコア!O78=0,0,1)</f>
        <v>0</v>
      </c>
      <c r="M78" s="2105">
        <f t="shared" si="54"/>
        <v>0.2</v>
      </c>
      <c r="N78" s="2105">
        <f t="shared" si="55"/>
        <v>0</v>
      </c>
      <c r="P78" s="2106" t="str">
        <f t="shared" si="56"/>
        <v>2.1.2</v>
      </c>
      <c r="Q78" s="2106" t="str">
        <f t="shared" si="57"/>
        <v xml:space="preserve"> Q2 2.1</v>
      </c>
      <c r="R78" s="2107" t="str">
        <f t="shared" si="58"/>
        <v>免震・制振性能</v>
      </c>
      <c r="S78" s="2108">
        <f t="shared" si="59"/>
        <v>0.2</v>
      </c>
      <c r="T78" s="2108">
        <f t="shared" si="60"/>
        <v>0.2</v>
      </c>
      <c r="U78" s="2108">
        <f t="shared" si="61"/>
        <v>0.2</v>
      </c>
      <c r="V78" s="2108">
        <f t="shared" si="62"/>
        <v>0.2</v>
      </c>
      <c r="W78" s="2108">
        <f t="shared" si="63"/>
        <v>0.2</v>
      </c>
      <c r="X78" s="2108">
        <f t="shared" si="64"/>
        <v>0.2</v>
      </c>
      <c r="Y78" s="2108">
        <f t="shared" si="65"/>
        <v>0.2</v>
      </c>
      <c r="Z78" s="2117">
        <f t="shared" si="66"/>
        <v>0.2</v>
      </c>
      <c r="AA78" s="2108">
        <f t="shared" si="67"/>
        <v>0.2</v>
      </c>
      <c r="AB78" s="2108">
        <f t="shared" si="68"/>
        <v>0.2</v>
      </c>
      <c r="AC78" s="2109">
        <f t="shared" si="69"/>
        <v>0</v>
      </c>
      <c r="AD78" s="2108">
        <f t="shared" si="70"/>
        <v>0</v>
      </c>
      <c r="AE78" s="2108">
        <f t="shared" si="71"/>
        <v>0</v>
      </c>
      <c r="AG78" s="2106" t="s">
        <v>2990</v>
      </c>
      <c r="AH78" s="2110" t="s">
        <v>2246</v>
      </c>
      <c r="AI78" s="2111" t="s">
        <v>2248</v>
      </c>
      <c r="AJ78" s="2108">
        <v>0.2</v>
      </c>
      <c r="AK78" s="2108">
        <v>0.2</v>
      </c>
      <c r="AL78" s="2108">
        <v>0.2</v>
      </c>
      <c r="AM78" s="2108">
        <v>0.2</v>
      </c>
      <c r="AN78" s="2108">
        <v>0.2</v>
      </c>
      <c r="AO78" s="2108">
        <v>0.2</v>
      </c>
      <c r="AP78" s="2108">
        <v>0.2</v>
      </c>
      <c r="AQ78" s="2117">
        <v>0.2</v>
      </c>
      <c r="AR78" s="2108">
        <v>0.2</v>
      </c>
      <c r="AS78" s="2113">
        <v>0.2</v>
      </c>
      <c r="AT78" s="2114">
        <v>0</v>
      </c>
      <c r="AU78" s="2113">
        <v>0</v>
      </c>
      <c r="AV78" s="2113">
        <v>0</v>
      </c>
      <c r="AX78" s="2106" t="s">
        <v>2991</v>
      </c>
      <c r="AY78" s="2110" t="s">
        <v>2246</v>
      </c>
      <c r="AZ78" s="2111" t="s">
        <v>2198</v>
      </c>
      <c r="BA78" s="2113">
        <v>0.2</v>
      </c>
      <c r="BB78" s="2113">
        <v>0.2</v>
      </c>
      <c r="BC78" s="2113">
        <v>0.2</v>
      </c>
      <c r="BD78" s="2113">
        <v>0.2</v>
      </c>
      <c r="BE78" s="2113">
        <v>0.2</v>
      </c>
      <c r="BF78" s="2113">
        <v>0.2</v>
      </c>
      <c r="BG78" s="2113">
        <v>0.2</v>
      </c>
      <c r="BH78" s="2120">
        <v>0.2</v>
      </c>
      <c r="BI78" s="2113">
        <v>0.2</v>
      </c>
      <c r="BJ78" s="2113">
        <v>0.2</v>
      </c>
      <c r="BK78" s="2114"/>
      <c r="BL78" s="2113"/>
      <c r="BM78" s="2113"/>
      <c r="BO78" s="2106" t="s">
        <v>2991</v>
      </c>
      <c r="BP78" s="2110" t="s">
        <v>2246</v>
      </c>
      <c r="BQ78" s="2111" t="s">
        <v>2248</v>
      </c>
      <c r="BR78" s="2113">
        <v>0.2</v>
      </c>
      <c r="BS78" s="2113">
        <v>0.2</v>
      </c>
      <c r="BT78" s="2113">
        <v>0.2</v>
      </c>
      <c r="BU78" s="2113">
        <v>0.2</v>
      </c>
      <c r="BV78" s="2113">
        <v>0.2</v>
      </c>
      <c r="BW78" s="2113">
        <v>0.2</v>
      </c>
      <c r="BX78" s="2113">
        <v>0.2</v>
      </c>
      <c r="BY78" s="2120">
        <v>0.2</v>
      </c>
      <c r="BZ78" s="2113">
        <v>0.2</v>
      </c>
      <c r="CA78" s="2113">
        <v>0.2</v>
      </c>
      <c r="CB78" s="2114"/>
      <c r="CC78" s="2113"/>
      <c r="CD78" s="2113"/>
      <c r="CE78" s="2554"/>
    </row>
    <row r="79" spans="1:84">
      <c r="B79" s="2080">
        <f t="shared" si="72"/>
        <v>2.2000000000000002</v>
      </c>
      <c r="C79" s="2107" t="str">
        <f t="shared" si="51"/>
        <v>部品・部材の耐用年数</v>
      </c>
      <c r="D79" s="2104">
        <f>IF(I$75=0,0,G79/I$75)</f>
        <v>0.3</v>
      </c>
      <c r="E79" s="2105">
        <f>IF(J$75=0,0,H79/J$75)</f>
        <v>0</v>
      </c>
      <c r="G79" s="2105">
        <f t="shared" si="52"/>
        <v>0.3</v>
      </c>
      <c r="H79" s="2105">
        <f t="shared" si="53"/>
        <v>0</v>
      </c>
      <c r="I79" s="2105">
        <f>SUM(G80:G85)</f>
        <v>1</v>
      </c>
      <c r="J79" s="2105">
        <f>SUM(H80:H85)</f>
        <v>0</v>
      </c>
      <c r="K79" s="2105">
        <f>IF(スコア!M79=0,0,1)</f>
        <v>1</v>
      </c>
      <c r="L79" s="2105">
        <f>IF(スコア!O79=0,0,1)</f>
        <v>0</v>
      </c>
      <c r="M79" s="2105">
        <f t="shared" si="54"/>
        <v>0.3</v>
      </c>
      <c r="N79" s="2105">
        <f t="shared" si="55"/>
        <v>0</v>
      </c>
      <c r="P79" s="2106">
        <f t="shared" si="56"/>
        <v>2.2000000000000002</v>
      </c>
      <c r="Q79" s="2106" t="str">
        <f t="shared" si="57"/>
        <v xml:space="preserve"> Q2 2</v>
      </c>
      <c r="R79" s="2107" t="str">
        <f t="shared" si="58"/>
        <v>部品・部材の耐用年数</v>
      </c>
      <c r="S79" s="2108">
        <f t="shared" si="59"/>
        <v>0.3</v>
      </c>
      <c r="T79" s="2108">
        <f t="shared" si="60"/>
        <v>0.3</v>
      </c>
      <c r="U79" s="2108">
        <f t="shared" si="61"/>
        <v>0.3</v>
      </c>
      <c r="V79" s="2108">
        <f t="shared" si="62"/>
        <v>0.3</v>
      </c>
      <c r="W79" s="2108">
        <f t="shared" si="63"/>
        <v>0.3</v>
      </c>
      <c r="X79" s="2108">
        <f t="shared" si="64"/>
        <v>0.3</v>
      </c>
      <c r="Y79" s="2108">
        <f t="shared" si="65"/>
        <v>0.3</v>
      </c>
      <c r="Z79" s="2117">
        <f t="shared" si="66"/>
        <v>0.3</v>
      </c>
      <c r="AA79" s="2108">
        <f t="shared" si="67"/>
        <v>0.3</v>
      </c>
      <c r="AB79" s="2108">
        <f t="shared" si="68"/>
        <v>0.3</v>
      </c>
      <c r="AC79" s="2109">
        <f t="shared" si="69"/>
        <v>0</v>
      </c>
      <c r="AD79" s="2108">
        <f t="shared" si="70"/>
        <v>0</v>
      </c>
      <c r="AE79" s="2108">
        <f t="shared" si="71"/>
        <v>0</v>
      </c>
      <c r="AG79" s="2106">
        <v>2.2000000000000002</v>
      </c>
      <c r="AH79" s="2110" t="s">
        <v>2245</v>
      </c>
      <c r="AI79" s="2107" t="s">
        <v>2413</v>
      </c>
      <c r="AJ79" s="2108">
        <v>0.25</v>
      </c>
      <c r="AK79" s="2108">
        <v>0.25</v>
      </c>
      <c r="AL79" s="2108">
        <v>0.25</v>
      </c>
      <c r="AM79" s="2108">
        <v>0.25</v>
      </c>
      <c r="AN79" s="2108">
        <v>0.25</v>
      </c>
      <c r="AO79" s="2108">
        <v>0.25</v>
      </c>
      <c r="AP79" s="2108">
        <v>0.25</v>
      </c>
      <c r="AQ79" s="2117">
        <v>0.25</v>
      </c>
      <c r="AR79" s="2108">
        <v>0.25</v>
      </c>
      <c r="AS79" s="2113">
        <v>0.25</v>
      </c>
      <c r="AT79" s="2114">
        <v>0</v>
      </c>
      <c r="AU79" s="2113">
        <v>0</v>
      </c>
      <c r="AV79" s="2113">
        <v>0</v>
      </c>
      <c r="AX79" s="2106">
        <v>2.2000000000000002</v>
      </c>
      <c r="AY79" s="2110" t="s">
        <v>2245</v>
      </c>
      <c r="AZ79" s="2107" t="s">
        <v>2199</v>
      </c>
      <c r="BA79" s="2113">
        <v>0.3</v>
      </c>
      <c r="BB79" s="2113">
        <v>0.3</v>
      </c>
      <c r="BC79" s="2113">
        <v>0.3</v>
      </c>
      <c r="BD79" s="2113">
        <v>0.3</v>
      </c>
      <c r="BE79" s="2113">
        <v>0.3</v>
      </c>
      <c r="BF79" s="2113">
        <v>0.3</v>
      </c>
      <c r="BG79" s="2113">
        <v>0.3</v>
      </c>
      <c r="BH79" s="2120">
        <v>0.3</v>
      </c>
      <c r="BI79" s="2113">
        <v>0.3</v>
      </c>
      <c r="BJ79" s="2113">
        <v>0.3</v>
      </c>
      <c r="BK79" s="2114"/>
      <c r="BL79" s="2113"/>
      <c r="BM79" s="2113"/>
      <c r="BO79" s="2106">
        <v>2.2000000000000002</v>
      </c>
      <c r="BP79" s="2110" t="s">
        <v>2245</v>
      </c>
      <c r="BQ79" s="2107" t="s">
        <v>2413</v>
      </c>
      <c r="BR79" s="2113">
        <v>0.3</v>
      </c>
      <c r="BS79" s="2113">
        <v>0.3</v>
      </c>
      <c r="BT79" s="2113">
        <v>0.3</v>
      </c>
      <c r="BU79" s="2113">
        <v>0.3</v>
      </c>
      <c r="BV79" s="2113">
        <v>0.3</v>
      </c>
      <c r="BW79" s="2113">
        <v>0.3</v>
      </c>
      <c r="BX79" s="2113">
        <v>0.3</v>
      </c>
      <c r="BY79" s="2120">
        <v>0.3</v>
      </c>
      <c r="BZ79" s="2113">
        <v>0.3</v>
      </c>
      <c r="CA79" s="2113">
        <v>0.3</v>
      </c>
      <c r="CB79" s="2114"/>
      <c r="CC79" s="2113"/>
      <c r="CD79" s="2113"/>
      <c r="CE79" s="2554"/>
    </row>
    <row r="80" spans="1:84">
      <c r="B80" s="2080" t="str">
        <f t="shared" si="72"/>
        <v>2.2.1</v>
      </c>
      <c r="C80" s="2103" t="str">
        <f t="shared" si="51"/>
        <v>躯体材料の耐用年数</v>
      </c>
      <c r="D80" s="2093">
        <f t="shared" ref="D80:E85" si="73">IF(I$79&gt;0,G80/I$79,0)</f>
        <v>0.2</v>
      </c>
      <c r="E80" s="2105">
        <f t="shared" si="73"/>
        <v>0</v>
      </c>
      <c r="G80" s="2105">
        <f t="shared" si="52"/>
        <v>0.2</v>
      </c>
      <c r="H80" s="2105">
        <f t="shared" si="53"/>
        <v>0</v>
      </c>
      <c r="I80" s="2105"/>
      <c r="J80" s="2105"/>
      <c r="K80" s="2105">
        <f>IF(スコア!M80=0,0,1)</f>
        <v>1</v>
      </c>
      <c r="L80" s="2105">
        <f>IF(スコア!O80=0,0,1)</f>
        <v>0</v>
      </c>
      <c r="M80" s="2105">
        <f t="shared" si="54"/>
        <v>0.2</v>
      </c>
      <c r="N80" s="2105">
        <f t="shared" si="55"/>
        <v>0</v>
      </c>
      <c r="P80" s="2106" t="str">
        <f t="shared" si="56"/>
        <v>2.2.1</v>
      </c>
      <c r="Q80" s="2106" t="str">
        <f t="shared" si="57"/>
        <v xml:space="preserve"> Q2 2.2</v>
      </c>
      <c r="R80" s="2107" t="str">
        <f t="shared" si="58"/>
        <v>躯体材料の耐用年数</v>
      </c>
      <c r="S80" s="2108">
        <f t="shared" si="59"/>
        <v>0.2</v>
      </c>
      <c r="T80" s="2108">
        <f t="shared" si="60"/>
        <v>0.2</v>
      </c>
      <c r="U80" s="2108">
        <f t="shared" si="61"/>
        <v>0.2</v>
      </c>
      <c r="V80" s="2108">
        <f t="shared" si="62"/>
        <v>0.2</v>
      </c>
      <c r="W80" s="2108">
        <f t="shared" si="63"/>
        <v>0.2</v>
      </c>
      <c r="X80" s="2108">
        <f t="shared" si="64"/>
        <v>0.2</v>
      </c>
      <c r="Y80" s="2108">
        <f t="shared" si="65"/>
        <v>0.2</v>
      </c>
      <c r="Z80" s="2117">
        <f t="shared" si="66"/>
        <v>0.2</v>
      </c>
      <c r="AA80" s="2108">
        <f t="shared" si="67"/>
        <v>0.2</v>
      </c>
      <c r="AB80" s="2108">
        <f t="shared" si="68"/>
        <v>0.2</v>
      </c>
      <c r="AC80" s="2109">
        <f t="shared" si="69"/>
        <v>0</v>
      </c>
      <c r="AD80" s="2108">
        <f t="shared" si="70"/>
        <v>0</v>
      </c>
      <c r="AE80" s="2108">
        <f t="shared" si="71"/>
        <v>0</v>
      </c>
      <c r="AG80" s="2106" t="s">
        <v>2992</v>
      </c>
      <c r="AH80" s="2110" t="s">
        <v>2249</v>
      </c>
      <c r="AI80" s="2111" t="s">
        <v>866</v>
      </c>
      <c r="AJ80" s="2109">
        <v>0.2</v>
      </c>
      <c r="AK80" s="2109">
        <v>0.2</v>
      </c>
      <c r="AL80" s="2109">
        <v>0.2</v>
      </c>
      <c r="AM80" s="2109">
        <v>0.2</v>
      </c>
      <c r="AN80" s="2109">
        <v>0.2</v>
      </c>
      <c r="AO80" s="2109">
        <v>0.2</v>
      </c>
      <c r="AP80" s="2109">
        <v>0.2</v>
      </c>
      <c r="AQ80" s="2109">
        <v>0.2</v>
      </c>
      <c r="AR80" s="2109">
        <v>0.2</v>
      </c>
      <c r="AS80" s="2113">
        <v>0.25</v>
      </c>
      <c r="AT80" s="2114">
        <v>0</v>
      </c>
      <c r="AU80" s="2113">
        <v>0</v>
      </c>
      <c r="AV80" s="2113">
        <v>0</v>
      </c>
      <c r="AX80" s="2106" t="s">
        <v>2993</v>
      </c>
      <c r="AY80" s="2110" t="s">
        <v>2249</v>
      </c>
      <c r="AZ80" s="2111" t="s">
        <v>2200</v>
      </c>
      <c r="BA80" s="2113">
        <v>0.2</v>
      </c>
      <c r="BB80" s="2113">
        <v>0.2</v>
      </c>
      <c r="BC80" s="2113">
        <v>0.2</v>
      </c>
      <c r="BD80" s="2113">
        <v>0.2</v>
      </c>
      <c r="BE80" s="2113">
        <v>0.2</v>
      </c>
      <c r="BF80" s="2113">
        <v>0.2</v>
      </c>
      <c r="BG80" s="2113">
        <v>0.2</v>
      </c>
      <c r="BH80" s="2113">
        <v>0.2</v>
      </c>
      <c r="BI80" s="2113">
        <v>0.2</v>
      </c>
      <c r="BJ80" s="2113">
        <v>0.2</v>
      </c>
      <c r="BK80" s="2114"/>
      <c r="BL80" s="2113"/>
      <c r="BM80" s="2113"/>
      <c r="BO80" s="2106" t="s">
        <v>2993</v>
      </c>
      <c r="BP80" s="2110" t="s">
        <v>2249</v>
      </c>
      <c r="BQ80" s="2111" t="s">
        <v>866</v>
      </c>
      <c r="BR80" s="2113">
        <v>0.2</v>
      </c>
      <c r="BS80" s="2113">
        <v>0.2</v>
      </c>
      <c r="BT80" s="2113">
        <v>0.2</v>
      </c>
      <c r="BU80" s="2113">
        <v>0.2</v>
      </c>
      <c r="BV80" s="2113">
        <v>0.2</v>
      </c>
      <c r="BW80" s="2113">
        <v>0.2</v>
      </c>
      <c r="BX80" s="2113">
        <v>0.2</v>
      </c>
      <c r="BY80" s="2113">
        <v>0.2</v>
      </c>
      <c r="BZ80" s="2113">
        <v>0.2</v>
      </c>
      <c r="CA80" s="2113">
        <v>0.2</v>
      </c>
      <c r="CB80" s="2114"/>
      <c r="CC80" s="2113"/>
      <c r="CD80" s="2113"/>
      <c r="CE80" s="2554"/>
    </row>
    <row r="81" spans="1:84">
      <c r="B81" s="2080" t="str">
        <f t="shared" si="72"/>
        <v>2.2.2</v>
      </c>
      <c r="C81" s="2103" t="str">
        <f t="shared" si="51"/>
        <v>外壁仕上げ材の補修必要間隔</v>
      </c>
      <c r="D81" s="2093">
        <f t="shared" si="73"/>
        <v>0.2</v>
      </c>
      <c r="E81" s="2105">
        <f t="shared" si="73"/>
        <v>0</v>
      </c>
      <c r="G81" s="2105">
        <f t="shared" si="52"/>
        <v>0.2</v>
      </c>
      <c r="H81" s="2105">
        <f t="shared" si="53"/>
        <v>0</v>
      </c>
      <c r="I81" s="2105"/>
      <c r="J81" s="2105"/>
      <c r="K81" s="2105">
        <f>IF(スコア!M81=0,0,1)</f>
        <v>1</v>
      </c>
      <c r="L81" s="2105">
        <f>IF(スコア!O81=0,0,1)</f>
        <v>0</v>
      </c>
      <c r="M81" s="2105">
        <f t="shared" si="54"/>
        <v>0.2</v>
      </c>
      <c r="N81" s="2105">
        <f t="shared" si="55"/>
        <v>0</v>
      </c>
      <c r="P81" s="2106" t="str">
        <f t="shared" si="56"/>
        <v>2.2.2</v>
      </c>
      <c r="Q81" s="2106" t="str">
        <f t="shared" si="57"/>
        <v xml:space="preserve"> Q2 2.2</v>
      </c>
      <c r="R81" s="2107" t="str">
        <f t="shared" si="58"/>
        <v>外壁仕上げ材の補修必要間隔</v>
      </c>
      <c r="S81" s="2108">
        <f t="shared" si="59"/>
        <v>0.2</v>
      </c>
      <c r="T81" s="2108">
        <f t="shared" si="60"/>
        <v>0.2</v>
      </c>
      <c r="U81" s="2108">
        <f t="shared" si="61"/>
        <v>0.2</v>
      </c>
      <c r="V81" s="2108">
        <f t="shared" si="62"/>
        <v>0.2</v>
      </c>
      <c r="W81" s="2108">
        <f t="shared" si="63"/>
        <v>0.2</v>
      </c>
      <c r="X81" s="2108">
        <f t="shared" si="64"/>
        <v>0.2</v>
      </c>
      <c r="Y81" s="2108">
        <f t="shared" si="65"/>
        <v>0.2</v>
      </c>
      <c r="Z81" s="2117">
        <f t="shared" si="66"/>
        <v>0.2</v>
      </c>
      <c r="AA81" s="2108">
        <f t="shared" si="67"/>
        <v>0.2</v>
      </c>
      <c r="AB81" s="2108">
        <f t="shared" si="68"/>
        <v>0.2</v>
      </c>
      <c r="AC81" s="2109">
        <f t="shared" si="69"/>
        <v>0</v>
      </c>
      <c r="AD81" s="2108">
        <f t="shared" si="70"/>
        <v>0</v>
      </c>
      <c r="AE81" s="2108">
        <f t="shared" si="71"/>
        <v>0</v>
      </c>
      <c r="AG81" s="2106" t="s">
        <v>2994</v>
      </c>
      <c r="AH81" s="2110" t="s">
        <v>2249</v>
      </c>
      <c r="AI81" s="2111" t="s">
        <v>2250</v>
      </c>
      <c r="AJ81" s="2109">
        <v>0.2</v>
      </c>
      <c r="AK81" s="2109">
        <v>0.2</v>
      </c>
      <c r="AL81" s="2109">
        <v>0.2</v>
      </c>
      <c r="AM81" s="2109">
        <v>0.2</v>
      </c>
      <c r="AN81" s="2109">
        <v>0.2</v>
      </c>
      <c r="AO81" s="2109">
        <v>0.2</v>
      </c>
      <c r="AP81" s="2109">
        <v>0.2</v>
      </c>
      <c r="AQ81" s="2109">
        <v>0.2</v>
      </c>
      <c r="AR81" s="2109">
        <v>0.2</v>
      </c>
      <c r="AS81" s="2113">
        <v>0.25</v>
      </c>
      <c r="AT81" s="2114">
        <v>0</v>
      </c>
      <c r="AU81" s="2113">
        <v>0</v>
      </c>
      <c r="AV81" s="2113">
        <v>0</v>
      </c>
      <c r="AX81" s="2106" t="s">
        <v>2994</v>
      </c>
      <c r="AY81" s="2110" t="s">
        <v>2249</v>
      </c>
      <c r="AZ81" s="2111" t="s">
        <v>2250</v>
      </c>
      <c r="BA81" s="2113">
        <v>0.2</v>
      </c>
      <c r="BB81" s="2113">
        <v>0.2</v>
      </c>
      <c r="BC81" s="2113">
        <v>0.2</v>
      </c>
      <c r="BD81" s="2113">
        <v>0.2</v>
      </c>
      <c r="BE81" s="2113">
        <v>0.2</v>
      </c>
      <c r="BF81" s="2113">
        <v>0.2</v>
      </c>
      <c r="BG81" s="2113">
        <v>0.2</v>
      </c>
      <c r="BH81" s="2113">
        <v>0.2</v>
      </c>
      <c r="BI81" s="2113">
        <v>0.2</v>
      </c>
      <c r="BJ81" s="2113">
        <v>0.2</v>
      </c>
      <c r="BK81" s="2114"/>
      <c r="BL81" s="2113"/>
      <c r="BM81" s="2113"/>
      <c r="BO81" s="2106" t="s">
        <v>2994</v>
      </c>
      <c r="BP81" s="2110" t="s">
        <v>2249</v>
      </c>
      <c r="BQ81" s="2111" t="s">
        <v>2250</v>
      </c>
      <c r="BR81" s="2113">
        <v>0.2</v>
      </c>
      <c r="BS81" s="2113">
        <v>0.2</v>
      </c>
      <c r="BT81" s="2113">
        <v>0.2</v>
      </c>
      <c r="BU81" s="2113">
        <v>0.2</v>
      </c>
      <c r="BV81" s="2113">
        <v>0.2</v>
      </c>
      <c r="BW81" s="2113">
        <v>0.2</v>
      </c>
      <c r="BX81" s="2113">
        <v>0.2</v>
      </c>
      <c r="BY81" s="2113">
        <v>0.2</v>
      </c>
      <c r="BZ81" s="2113">
        <v>0.2</v>
      </c>
      <c r="CA81" s="2113">
        <v>0.2</v>
      </c>
      <c r="CB81" s="2114"/>
      <c r="CC81" s="2113"/>
      <c r="CD81" s="2113"/>
      <c r="CE81" s="2554"/>
    </row>
    <row r="82" spans="1:84">
      <c r="B82" s="2080" t="str">
        <f t="shared" si="72"/>
        <v>2.2.3</v>
      </c>
      <c r="C82" s="2103" t="str">
        <f t="shared" si="51"/>
        <v>主要内装仕上げ材の更新必要間隔</v>
      </c>
      <c r="D82" s="2093">
        <f t="shared" si="73"/>
        <v>0.1</v>
      </c>
      <c r="E82" s="2105">
        <f t="shared" si="73"/>
        <v>0</v>
      </c>
      <c r="G82" s="2105">
        <f t="shared" si="52"/>
        <v>0.1</v>
      </c>
      <c r="H82" s="2105">
        <f t="shared" si="53"/>
        <v>0</v>
      </c>
      <c r="I82" s="2105"/>
      <c r="J82" s="2105"/>
      <c r="K82" s="2105">
        <f>IF(スコア!M82=0,0,1)</f>
        <v>1</v>
      </c>
      <c r="L82" s="2105">
        <f>IF(スコア!O82=0,0,1)</f>
        <v>0</v>
      </c>
      <c r="M82" s="2105">
        <f t="shared" si="54"/>
        <v>0.1</v>
      </c>
      <c r="N82" s="2105">
        <f t="shared" si="55"/>
        <v>0</v>
      </c>
      <c r="P82" s="2106" t="str">
        <f t="shared" si="56"/>
        <v>2.2.3</v>
      </c>
      <c r="Q82" s="2106" t="str">
        <f t="shared" si="57"/>
        <v xml:space="preserve"> Q2 2.2</v>
      </c>
      <c r="R82" s="2107" t="str">
        <f t="shared" si="58"/>
        <v>主要内装仕上げ材の更新必要間隔</v>
      </c>
      <c r="S82" s="2108">
        <f t="shared" si="59"/>
        <v>0.1</v>
      </c>
      <c r="T82" s="2108">
        <f t="shared" si="60"/>
        <v>0.1</v>
      </c>
      <c r="U82" s="2108">
        <f t="shared" si="61"/>
        <v>0.1</v>
      </c>
      <c r="V82" s="2108">
        <f t="shared" si="62"/>
        <v>0.1</v>
      </c>
      <c r="W82" s="2108">
        <f t="shared" si="63"/>
        <v>0.1</v>
      </c>
      <c r="X82" s="2108">
        <f t="shared" si="64"/>
        <v>0.1</v>
      </c>
      <c r="Y82" s="2108">
        <f t="shared" si="65"/>
        <v>0.1</v>
      </c>
      <c r="Z82" s="2117">
        <f t="shared" si="66"/>
        <v>0.1</v>
      </c>
      <c r="AA82" s="2108">
        <f t="shared" si="67"/>
        <v>0.1</v>
      </c>
      <c r="AB82" s="2108">
        <f t="shared" si="68"/>
        <v>0.1</v>
      </c>
      <c r="AC82" s="2109">
        <f t="shared" si="69"/>
        <v>0</v>
      </c>
      <c r="AD82" s="2108">
        <f t="shared" si="70"/>
        <v>0</v>
      </c>
      <c r="AE82" s="2108">
        <f t="shared" si="71"/>
        <v>0</v>
      </c>
      <c r="AG82" s="2106" t="s">
        <v>2995</v>
      </c>
      <c r="AH82" s="2110" t="s">
        <v>2249</v>
      </c>
      <c r="AI82" s="2111" t="s">
        <v>2251</v>
      </c>
      <c r="AJ82" s="2118">
        <v>0</v>
      </c>
      <c r="AK82" s="2118">
        <v>0</v>
      </c>
      <c r="AL82" s="2118">
        <v>0</v>
      </c>
      <c r="AM82" s="2118">
        <v>0</v>
      </c>
      <c r="AN82" s="2118">
        <v>0</v>
      </c>
      <c r="AO82" s="2118">
        <v>0</v>
      </c>
      <c r="AP82" s="2118">
        <v>0</v>
      </c>
      <c r="AQ82" s="2118">
        <v>0</v>
      </c>
      <c r="AR82" s="2118">
        <v>0</v>
      </c>
      <c r="AS82" s="2113">
        <v>0</v>
      </c>
      <c r="AT82" s="2114">
        <v>0</v>
      </c>
      <c r="AU82" s="2113">
        <v>0</v>
      </c>
      <c r="AV82" s="2113">
        <v>0</v>
      </c>
      <c r="AX82" s="2106" t="s">
        <v>2995</v>
      </c>
      <c r="AY82" s="2110" t="s">
        <v>2249</v>
      </c>
      <c r="AZ82" s="2111" t="s">
        <v>2251</v>
      </c>
      <c r="BA82" s="2113">
        <v>0.1</v>
      </c>
      <c r="BB82" s="2113">
        <v>0.1</v>
      </c>
      <c r="BC82" s="2113">
        <v>0.1</v>
      </c>
      <c r="BD82" s="2113">
        <v>0.1</v>
      </c>
      <c r="BE82" s="2113">
        <v>0.1</v>
      </c>
      <c r="BF82" s="2113">
        <v>0.1</v>
      </c>
      <c r="BG82" s="2113">
        <v>0.1</v>
      </c>
      <c r="BH82" s="2113">
        <v>0.1</v>
      </c>
      <c r="BI82" s="2113">
        <v>0.1</v>
      </c>
      <c r="BJ82" s="2113">
        <v>0.1</v>
      </c>
      <c r="BK82" s="2114"/>
      <c r="BL82" s="2113"/>
      <c r="BM82" s="2113"/>
      <c r="BO82" s="2106" t="s">
        <v>2995</v>
      </c>
      <c r="BP82" s="2110" t="s">
        <v>2249</v>
      </c>
      <c r="BQ82" s="2111" t="s">
        <v>2251</v>
      </c>
      <c r="BR82" s="2113">
        <v>0.1</v>
      </c>
      <c r="BS82" s="2113">
        <v>0.1</v>
      </c>
      <c r="BT82" s="2113">
        <v>0.1</v>
      </c>
      <c r="BU82" s="2113">
        <v>0.1</v>
      </c>
      <c r="BV82" s="2113">
        <v>0.1</v>
      </c>
      <c r="BW82" s="2113">
        <v>0.1</v>
      </c>
      <c r="BX82" s="2113">
        <v>0.1</v>
      </c>
      <c r="BY82" s="2113">
        <v>0.1</v>
      </c>
      <c r="BZ82" s="2113">
        <v>0.1</v>
      </c>
      <c r="CA82" s="2113">
        <v>0.1</v>
      </c>
      <c r="CB82" s="2114"/>
      <c r="CC82" s="2113"/>
      <c r="CD82" s="2113"/>
      <c r="CE82" s="2554"/>
    </row>
    <row r="83" spans="1:84" s="2158" customFormat="1">
      <c r="A83"/>
      <c r="B83" s="2080" t="str">
        <f t="shared" si="72"/>
        <v>2.2.4</v>
      </c>
      <c r="C83" s="2103" t="str">
        <f t="shared" si="51"/>
        <v>空調換気ダクトの更新必要間隔</v>
      </c>
      <c r="D83" s="2093">
        <f t="shared" si="73"/>
        <v>0.1</v>
      </c>
      <c r="E83" s="2105">
        <f t="shared" si="73"/>
        <v>0</v>
      </c>
      <c r="F83"/>
      <c r="G83" s="2105">
        <f t="shared" si="52"/>
        <v>0.1</v>
      </c>
      <c r="H83" s="2105">
        <f t="shared" si="53"/>
        <v>0</v>
      </c>
      <c r="I83" s="2105"/>
      <c r="J83" s="2105"/>
      <c r="K83" s="2105">
        <f>IF(スコア!M83=0,0,1)</f>
        <v>1</v>
      </c>
      <c r="L83" s="2105">
        <f>IF(スコア!O83=0,0,1)</f>
        <v>0</v>
      </c>
      <c r="M83" s="2105">
        <f t="shared" si="54"/>
        <v>0.1</v>
      </c>
      <c r="N83" s="2105">
        <f t="shared" si="55"/>
        <v>0</v>
      </c>
      <c r="O83"/>
      <c r="P83" s="2106" t="str">
        <f t="shared" si="56"/>
        <v>2.2.4</v>
      </c>
      <c r="Q83" s="2106" t="str">
        <f t="shared" si="57"/>
        <v xml:space="preserve"> Q2 2.2</v>
      </c>
      <c r="R83" s="2107" t="str">
        <f t="shared" si="58"/>
        <v>空調換気ダクトの更新必要間隔</v>
      </c>
      <c r="S83" s="2108">
        <f t="shared" si="59"/>
        <v>0.1</v>
      </c>
      <c r="T83" s="2108">
        <f t="shared" si="60"/>
        <v>0.1</v>
      </c>
      <c r="U83" s="2108">
        <f t="shared" si="61"/>
        <v>0.1</v>
      </c>
      <c r="V83" s="2108">
        <f t="shared" si="62"/>
        <v>0.1</v>
      </c>
      <c r="W83" s="2108">
        <f t="shared" si="63"/>
        <v>0.1</v>
      </c>
      <c r="X83" s="2108">
        <f t="shared" si="64"/>
        <v>0.1</v>
      </c>
      <c r="Y83" s="2108">
        <f t="shared" si="65"/>
        <v>0.1</v>
      </c>
      <c r="Z83" s="2117">
        <f t="shared" si="66"/>
        <v>0.1</v>
      </c>
      <c r="AA83" s="2108">
        <f t="shared" si="67"/>
        <v>0.1</v>
      </c>
      <c r="AB83" s="2108">
        <f t="shared" si="68"/>
        <v>0.1</v>
      </c>
      <c r="AC83" s="2109">
        <f t="shared" si="69"/>
        <v>0</v>
      </c>
      <c r="AD83" s="2108">
        <f t="shared" si="70"/>
        <v>0</v>
      </c>
      <c r="AE83" s="2108">
        <f t="shared" si="71"/>
        <v>0</v>
      </c>
      <c r="AF83"/>
      <c r="AG83" s="2106" t="s">
        <v>2996</v>
      </c>
      <c r="AH83" s="2110" t="s">
        <v>2249</v>
      </c>
      <c r="AI83" s="2111" t="s">
        <v>2252</v>
      </c>
      <c r="AJ83" s="2109">
        <v>0.1</v>
      </c>
      <c r="AK83" s="2109">
        <v>0.1</v>
      </c>
      <c r="AL83" s="2109">
        <v>0.1</v>
      </c>
      <c r="AM83" s="2109">
        <v>0.1</v>
      </c>
      <c r="AN83" s="2109">
        <v>0.1</v>
      </c>
      <c r="AO83" s="2109">
        <v>0.1</v>
      </c>
      <c r="AP83" s="2109">
        <v>0.1</v>
      </c>
      <c r="AQ83" s="2109">
        <v>0.1</v>
      </c>
      <c r="AR83" s="2109">
        <v>0.1</v>
      </c>
      <c r="AS83" s="2113">
        <v>0.1</v>
      </c>
      <c r="AT83" s="2114">
        <v>0</v>
      </c>
      <c r="AU83" s="2113">
        <v>0</v>
      </c>
      <c r="AV83" s="2113">
        <v>0</v>
      </c>
      <c r="AW83"/>
      <c r="AX83" s="2106" t="s">
        <v>2997</v>
      </c>
      <c r="AY83" s="2110" t="s">
        <v>2249</v>
      </c>
      <c r="AZ83" s="2111" t="s">
        <v>2201</v>
      </c>
      <c r="BA83" s="2113">
        <v>0.1</v>
      </c>
      <c r="BB83" s="2113">
        <v>0.1</v>
      </c>
      <c r="BC83" s="2113">
        <v>0.1</v>
      </c>
      <c r="BD83" s="2113">
        <v>0.1</v>
      </c>
      <c r="BE83" s="2113">
        <v>0.1</v>
      </c>
      <c r="BF83" s="2113">
        <v>0.1</v>
      </c>
      <c r="BG83" s="2113">
        <v>0.1</v>
      </c>
      <c r="BH83" s="2113">
        <v>0.1</v>
      </c>
      <c r="BI83" s="2113">
        <v>0.1</v>
      </c>
      <c r="BJ83" s="2113">
        <v>0.1</v>
      </c>
      <c r="BK83" s="2114"/>
      <c r="BL83" s="2113"/>
      <c r="BM83" s="2113"/>
      <c r="BN83"/>
      <c r="BO83" s="2106" t="s">
        <v>2997</v>
      </c>
      <c r="BP83" s="2110" t="s">
        <v>2249</v>
      </c>
      <c r="BQ83" s="2111" t="s">
        <v>2252</v>
      </c>
      <c r="BR83" s="2113">
        <v>0.1</v>
      </c>
      <c r="BS83" s="2113">
        <v>0.1</v>
      </c>
      <c r="BT83" s="2113">
        <v>0.1</v>
      </c>
      <c r="BU83" s="2113">
        <v>0.1</v>
      </c>
      <c r="BV83" s="2113">
        <v>0.1</v>
      </c>
      <c r="BW83" s="2113">
        <v>0.1</v>
      </c>
      <c r="BX83" s="2113">
        <v>0.1</v>
      </c>
      <c r="BY83" s="2113">
        <v>0.1</v>
      </c>
      <c r="BZ83" s="2113">
        <v>0.1</v>
      </c>
      <c r="CA83" s="2113">
        <v>0.1</v>
      </c>
      <c r="CB83" s="2114"/>
      <c r="CC83" s="2113"/>
      <c r="CD83" s="2113"/>
      <c r="CE83" s="2554"/>
      <c r="CF83"/>
    </row>
    <row r="84" spans="1:84" s="2158" customFormat="1">
      <c r="A84"/>
      <c r="B84" s="2080" t="str">
        <f t="shared" si="72"/>
        <v>2.2.5</v>
      </c>
      <c r="C84" s="2103" t="str">
        <f t="shared" si="51"/>
        <v>空調・給排水配管の更新必要間隔</v>
      </c>
      <c r="D84" s="2093">
        <f t="shared" si="73"/>
        <v>0.2</v>
      </c>
      <c r="E84" s="2105">
        <f t="shared" si="73"/>
        <v>0</v>
      </c>
      <c r="F84"/>
      <c r="G84" s="2105">
        <f t="shared" si="52"/>
        <v>0.2</v>
      </c>
      <c r="H84" s="2105">
        <f t="shared" si="53"/>
        <v>0</v>
      </c>
      <c r="I84" s="2105"/>
      <c r="J84" s="2105"/>
      <c r="K84" s="2105">
        <f>IF(スコア!M85=0,0,1)</f>
        <v>1</v>
      </c>
      <c r="L84" s="2105">
        <f>IF(スコア!O85=0,0,1)</f>
        <v>0</v>
      </c>
      <c r="M84" s="2105">
        <f t="shared" si="54"/>
        <v>0.2</v>
      </c>
      <c r="N84" s="2105">
        <f t="shared" si="55"/>
        <v>0</v>
      </c>
      <c r="O84"/>
      <c r="P84" s="2106" t="str">
        <f t="shared" si="56"/>
        <v>2.2.5</v>
      </c>
      <c r="Q84" s="2106" t="str">
        <f t="shared" si="57"/>
        <v xml:space="preserve"> Q2 2.2</v>
      </c>
      <c r="R84" s="2107" t="str">
        <f t="shared" si="58"/>
        <v>空調・給排水配管の更新必要間隔</v>
      </c>
      <c r="S84" s="2108">
        <f t="shared" si="59"/>
        <v>0.2</v>
      </c>
      <c r="T84" s="2108">
        <f t="shared" si="60"/>
        <v>0.2</v>
      </c>
      <c r="U84" s="2108">
        <f t="shared" si="61"/>
        <v>0.2</v>
      </c>
      <c r="V84" s="2108">
        <f t="shared" si="62"/>
        <v>0.2</v>
      </c>
      <c r="W84" s="2108">
        <f t="shared" si="63"/>
        <v>0.2</v>
      </c>
      <c r="X84" s="2108">
        <f t="shared" si="64"/>
        <v>0.2</v>
      </c>
      <c r="Y84" s="2108">
        <f t="shared" si="65"/>
        <v>0.2</v>
      </c>
      <c r="Z84" s="2117">
        <f t="shared" si="66"/>
        <v>0.2</v>
      </c>
      <c r="AA84" s="2108">
        <f t="shared" si="67"/>
        <v>0.2</v>
      </c>
      <c r="AB84" s="2108">
        <f t="shared" si="68"/>
        <v>0.2</v>
      </c>
      <c r="AC84" s="2109">
        <f t="shared" si="69"/>
        <v>0</v>
      </c>
      <c r="AD84" s="2108">
        <f t="shared" si="70"/>
        <v>0</v>
      </c>
      <c r="AE84" s="2108">
        <f t="shared" si="71"/>
        <v>0</v>
      </c>
      <c r="AF84"/>
      <c r="AG84" s="2106" t="s">
        <v>2998</v>
      </c>
      <c r="AH84" s="2110" t="s">
        <v>2249</v>
      </c>
      <c r="AI84" s="2111" t="s">
        <v>2253</v>
      </c>
      <c r="AJ84" s="2109">
        <v>0.1</v>
      </c>
      <c r="AK84" s="2109">
        <v>0.1</v>
      </c>
      <c r="AL84" s="2109">
        <v>0.1</v>
      </c>
      <c r="AM84" s="2109">
        <v>0.1</v>
      </c>
      <c r="AN84" s="2109">
        <v>0.1</v>
      </c>
      <c r="AO84" s="2109">
        <v>0.1</v>
      </c>
      <c r="AP84" s="2109">
        <v>0.1</v>
      </c>
      <c r="AQ84" s="2109">
        <v>0.1</v>
      </c>
      <c r="AR84" s="2109">
        <v>0.1</v>
      </c>
      <c r="AS84" s="2113">
        <v>0.1</v>
      </c>
      <c r="AT84" s="2114"/>
      <c r="AU84" s="2113"/>
      <c r="AV84" s="2113"/>
      <c r="AW84"/>
      <c r="AX84" s="2106" t="s">
        <v>2999</v>
      </c>
      <c r="AY84" s="2110" t="s">
        <v>2249</v>
      </c>
      <c r="AZ84" s="2111" t="s">
        <v>2202</v>
      </c>
      <c r="BA84" s="2113">
        <v>0.2</v>
      </c>
      <c r="BB84" s="2113">
        <v>0.2</v>
      </c>
      <c r="BC84" s="2113">
        <v>0.2</v>
      </c>
      <c r="BD84" s="2113">
        <v>0.2</v>
      </c>
      <c r="BE84" s="2113">
        <v>0.2</v>
      </c>
      <c r="BF84" s="2113">
        <v>0.2</v>
      </c>
      <c r="BG84" s="2113">
        <v>0.2</v>
      </c>
      <c r="BH84" s="2113">
        <v>0.2</v>
      </c>
      <c r="BI84" s="2113">
        <v>0.2</v>
      </c>
      <c r="BJ84" s="2113">
        <v>0.2</v>
      </c>
      <c r="BK84" s="2114"/>
      <c r="BL84" s="2113"/>
      <c r="BM84" s="2113"/>
      <c r="BN84"/>
      <c r="BO84" s="2106" t="s">
        <v>2999</v>
      </c>
      <c r="BP84" s="2110" t="s">
        <v>2249</v>
      </c>
      <c r="BQ84" s="2111" t="s">
        <v>2253</v>
      </c>
      <c r="BR84" s="2113">
        <v>0.2</v>
      </c>
      <c r="BS84" s="2113">
        <v>0.2</v>
      </c>
      <c r="BT84" s="2113">
        <v>0.2</v>
      </c>
      <c r="BU84" s="2113">
        <v>0.2</v>
      </c>
      <c r="BV84" s="2113">
        <v>0.2</v>
      </c>
      <c r="BW84" s="2113">
        <v>0.2</v>
      </c>
      <c r="BX84" s="2113">
        <v>0.2</v>
      </c>
      <c r="BY84" s="2113">
        <v>0.2</v>
      </c>
      <c r="BZ84" s="2113">
        <v>0.2</v>
      </c>
      <c r="CA84" s="2113">
        <v>0.2</v>
      </c>
      <c r="CB84" s="2114"/>
      <c r="CC84" s="2113"/>
      <c r="CD84" s="2113"/>
      <c r="CE84" s="2554"/>
      <c r="CF84"/>
    </row>
    <row r="85" spans="1:84">
      <c r="B85" s="2080" t="str">
        <f t="shared" si="72"/>
        <v>2.2.6</v>
      </c>
      <c r="C85" s="2162" t="str">
        <f t="shared" si="51"/>
        <v>主要設備機器の更新必要間隔</v>
      </c>
      <c r="D85" s="2093">
        <f t="shared" si="73"/>
        <v>0.2</v>
      </c>
      <c r="E85" s="2105">
        <f t="shared" si="73"/>
        <v>0</v>
      </c>
      <c r="G85" s="2105">
        <f t="shared" si="52"/>
        <v>0.2</v>
      </c>
      <c r="H85" s="2105">
        <f t="shared" si="53"/>
        <v>0</v>
      </c>
      <c r="I85" s="2105"/>
      <c r="J85" s="2105"/>
      <c r="K85" s="2105">
        <f>IF(スコア!M85=0,0,1)</f>
        <v>1</v>
      </c>
      <c r="L85" s="2105">
        <f>IF(スコア!O85=0,0,1)</f>
        <v>0</v>
      </c>
      <c r="M85" s="2105">
        <f t="shared" si="54"/>
        <v>0.2</v>
      </c>
      <c r="N85" s="2105">
        <f t="shared" si="55"/>
        <v>0</v>
      </c>
      <c r="P85" s="2106" t="str">
        <f t="shared" si="56"/>
        <v>2.2.6</v>
      </c>
      <c r="Q85" s="2106" t="str">
        <f t="shared" si="57"/>
        <v xml:space="preserve"> Q2 2.2</v>
      </c>
      <c r="R85" s="2107" t="str">
        <f t="shared" si="58"/>
        <v>主要設備機器の更新必要間隔</v>
      </c>
      <c r="S85" s="2108">
        <f t="shared" si="59"/>
        <v>0.2</v>
      </c>
      <c r="T85" s="2108">
        <f t="shared" si="60"/>
        <v>0.2</v>
      </c>
      <c r="U85" s="2108">
        <f t="shared" si="61"/>
        <v>0.2</v>
      </c>
      <c r="V85" s="2108">
        <f t="shared" si="62"/>
        <v>0.2</v>
      </c>
      <c r="W85" s="2108">
        <f t="shared" si="63"/>
        <v>0.2</v>
      </c>
      <c r="X85" s="2108">
        <f t="shared" si="64"/>
        <v>0.2</v>
      </c>
      <c r="Y85" s="2108">
        <f t="shared" si="65"/>
        <v>0.2</v>
      </c>
      <c r="Z85" s="2117">
        <f t="shared" si="66"/>
        <v>0.2</v>
      </c>
      <c r="AA85" s="2108">
        <f t="shared" si="67"/>
        <v>0.2</v>
      </c>
      <c r="AB85" s="2108">
        <f t="shared" si="68"/>
        <v>0.2</v>
      </c>
      <c r="AC85" s="2109">
        <f t="shared" si="69"/>
        <v>0</v>
      </c>
      <c r="AD85" s="2108">
        <f t="shared" si="70"/>
        <v>0</v>
      </c>
      <c r="AE85" s="2108">
        <f t="shared" si="71"/>
        <v>0</v>
      </c>
      <c r="AG85" s="2106" t="s">
        <v>3000</v>
      </c>
      <c r="AH85" s="2110" t="s">
        <v>2249</v>
      </c>
      <c r="AI85" s="2111" t="s">
        <v>2254</v>
      </c>
      <c r="AJ85" s="2109">
        <v>0.2</v>
      </c>
      <c r="AK85" s="2109">
        <v>0.2</v>
      </c>
      <c r="AL85" s="2109">
        <v>0.2</v>
      </c>
      <c r="AM85" s="2109">
        <v>0.2</v>
      </c>
      <c r="AN85" s="2109">
        <v>0.2</v>
      </c>
      <c r="AO85" s="2109">
        <v>0.2</v>
      </c>
      <c r="AP85" s="2109">
        <v>0.2</v>
      </c>
      <c r="AQ85" s="2109">
        <v>0.2</v>
      </c>
      <c r="AR85" s="2109">
        <v>0.2</v>
      </c>
      <c r="AS85" s="2113">
        <v>0.25</v>
      </c>
      <c r="AT85" s="2114">
        <v>0</v>
      </c>
      <c r="AU85" s="2113">
        <v>0</v>
      </c>
      <c r="AV85" s="2113">
        <v>0</v>
      </c>
      <c r="AX85" s="2106" t="s">
        <v>3000</v>
      </c>
      <c r="AY85" s="2110" t="s">
        <v>2249</v>
      </c>
      <c r="AZ85" s="2111" t="s">
        <v>2254</v>
      </c>
      <c r="BA85" s="2113">
        <v>0.2</v>
      </c>
      <c r="BB85" s="2113">
        <v>0.2</v>
      </c>
      <c r="BC85" s="2113">
        <v>0.2</v>
      </c>
      <c r="BD85" s="2113">
        <v>0.2</v>
      </c>
      <c r="BE85" s="2113">
        <v>0.2</v>
      </c>
      <c r="BF85" s="2113">
        <v>0.2</v>
      </c>
      <c r="BG85" s="2113">
        <v>0.2</v>
      </c>
      <c r="BH85" s="2113">
        <v>0.2</v>
      </c>
      <c r="BI85" s="2113">
        <v>0.2</v>
      </c>
      <c r="BJ85" s="2113">
        <v>0.2</v>
      </c>
      <c r="BK85" s="2114"/>
      <c r="BL85" s="2113"/>
      <c r="BM85" s="2113"/>
      <c r="BO85" s="2106" t="s">
        <v>3000</v>
      </c>
      <c r="BP85" s="2110" t="s">
        <v>2249</v>
      </c>
      <c r="BQ85" s="2111" t="s">
        <v>2254</v>
      </c>
      <c r="BR85" s="2113">
        <v>0.2</v>
      </c>
      <c r="BS85" s="2113">
        <v>0.2</v>
      </c>
      <c r="BT85" s="2113">
        <v>0.2</v>
      </c>
      <c r="BU85" s="2113">
        <v>0.2</v>
      </c>
      <c r="BV85" s="2113">
        <v>0.2</v>
      </c>
      <c r="BW85" s="2113">
        <v>0.2</v>
      </c>
      <c r="BX85" s="2113">
        <v>0.2</v>
      </c>
      <c r="BY85" s="2113">
        <v>0.2</v>
      </c>
      <c r="BZ85" s="2113">
        <v>0.2</v>
      </c>
      <c r="CA85" s="2113">
        <v>0.2</v>
      </c>
      <c r="CB85" s="2114"/>
      <c r="CC85" s="2113"/>
      <c r="CD85" s="2113"/>
      <c r="CE85" s="2554"/>
    </row>
    <row r="86" spans="1:84">
      <c r="B86" s="2080">
        <f t="shared" si="72"/>
        <v>2.2999999999999998</v>
      </c>
      <c r="C86" s="2162" t="str">
        <f t="shared" si="51"/>
        <v>適切な更新</v>
      </c>
      <c r="D86" s="2104">
        <f>IF(I$75=0,0,G86/I$75)</f>
        <v>0</v>
      </c>
      <c r="E86" s="2105">
        <f>IF(J$75=0,0,H86/J$75)</f>
        <v>0</v>
      </c>
      <c r="G86" s="2105">
        <f t="shared" si="52"/>
        <v>0</v>
      </c>
      <c r="H86" s="2105">
        <f t="shared" si="53"/>
        <v>0</v>
      </c>
      <c r="I86" s="2105">
        <f>G87+G88+G89</f>
        <v>0</v>
      </c>
      <c r="J86" s="2105">
        <f>H87+H88+H89</f>
        <v>0</v>
      </c>
      <c r="K86" s="2105">
        <f>IF(スコア!M86=0,0,1)</f>
        <v>0</v>
      </c>
      <c r="L86" s="2105">
        <f>IF(スコア!O90=0,0,1)</f>
        <v>0</v>
      </c>
      <c r="M86" s="2105">
        <f t="shared" si="54"/>
        <v>0</v>
      </c>
      <c r="N86" s="2105">
        <f t="shared" si="55"/>
        <v>0</v>
      </c>
      <c r="P86" s="2106">
        <f t="shared" si="56"/>
        <v>2.2999999999999998</v>
      </c>
      <c r="Q86" s="2106" t="str">
        <f t="shared" si="57"/>
        <v xml:space="preserve"> Q2 2</v>
      </c>
      <c r="R86" s="2107" t="str">
        <f t="shared" si="58"/>
        <v>適切な更新</v>
      </c>
      <c r="S86" s="2108">
        <f t="shared" si="59"/>
        <v>0</v>
      </c>
      <c r="T86" s="2108">
        <f t="shared" si="60"/>
        <v>0</v>
      </c>
      <c r="U86" s="2108">
        <f t="shared" si="61"/>
        <v>0</v>
      </c>
      <c r="V86" s="2108">
        <f t="shared" si="62"/>
        <v>0</v>
      </c>
      <c r="W86" s="2108">
        <f t="shared" si="63"/>
        <v>0</v>
      </c>
      <c r="X86" s="2108">
        <f t="shared" si="64"/>
        <v>0</v>
      </c>
      <c r="Y86" s="2108">
        <f t="shared" si="65"/>
        <v>0</v>
      </c>
      <c r="Z86" s="2117">
        <f t="shared" si="66"/>
        <v>0</v>
      </c>
      <c r="AA86" s="2108">
        <f t="shared" si="67"/>
        <v>0</v>
      </c>
      <c r="AB86" s="2108">
        <f t="shared" si="68"/>
        <v>0</v>
      </c>
      <c r="AC86" s="2109">
        <f t="shared" si="69"/>
        <v>0</v>
      </c>
      <c r="AD86" s="2108">
        <f t="shared" si="70"/>
        <v>0</v>
      </c>
      <c r="AE86" s="2108">
        <f t="shared" si="71"/>
        <v>0</v>
      </c>
      <c r="AG86" s="2106">
        <v>2.2999999999999998</v>
      </c>
      <c r="AH86" s="2106" t="s">
        <v>3001</v>
      </c>
      <c r="AI86" s="2110" t="s">
        <v>872</v>
      </c>
      <c r="AJ86" s="2108">
        <v>0.25</v>
      </c>
      <c r="AK86" s="2108">
        <v>0.25</v>
      </c>
      <c r="AL86" s="2108">
        <v>0.25</v>
      </c>
      <c r="AM86" s="2108">
        <v>0.25</v>
      </c>
      <c r="AN86" s="2108">
        <v>0.25</v>
      </c>
      <c r="AO86" s="2108">
        <v>0.25</v>
      </c>
      <c r="AP86" s="2108">
        <v>0.25</v>
      </c>
      <c r="AQ86" s="2117">
        <v>0.25</v>
      </c>
      <c r="AR86" s="2108">
        <v>0.25</v>
      </c>
      <c r="AS86" s="2113">
        <v>0.25</v>
      </c>
      <c r="AT86" s="2113"/>
      <c r="AU86" s="2114"/>
      <c r="AV86" s="2113"/>
      <c r="AX86" s="2134">
        <v>2.2999999999999998</v>
      </c>
      <c r="AY86" s="2163" t="s">
        <v>2245</v>
      </c>
      <c r="AZ86" s="2139" t="s">
        <v>2203</v>
      </c>
      <c r="BA86" s="2140">
        <v>0</v>
      </c>
      <c r="BB86" s="2140">
        <v>0</v>
      </c>
      <c r="BC86" s="2140">
        <v>0</v>
      </c>
      <c r="BD86" s="2140">
        <v>0</v>
      </c>
      <c r="BE86" s="2140">
        <v>0</v>
      </c>
      <c r="BF86" s="2140">
        <v>0</v>
      </c>
      <c r="BG86" s="2140">
        <v>0</v>
      </c>
      <c r="BH86" s="2140">
        <v>0</v>
      </c>
      <c r="BI86" s="2140">
        <v>0</v>
      </c>
      <c r="BJ86" s="2140">
        <v>0</v>
      </c>
      <c r="BK86" s="2142"/>
      <c r="BL86" s="2140"/>
      <c r="BM86" s="2140"/>
      <c r="BO86" s="2134">
        <v>2.2999999999999998</v>
      </c>
      <c r="BP86" s="2163" t="s">
        <v>2245</v>
      </c>
      <c r="BQ86" s="2139" t="s">
        <v>872</v>
      </c>
      <c r="BR86" s="2140">
        <v>0</v>
      </c>
      <c r="BS86" s="2140">
        <v>0</v>
      </c>
      <c r="BT86" s="2140">
        <v>0</v>
      </c>
      <c r="BU86" s="2140">
        <v>0</v>
      </c>
      <c r="BV86" s="2140">
        <v>0</v>
      </c>
      <c r="BW86" s="2140">
        <v>0</v>
      </c>
      <c r="BX86" s="2140">
        <v>0</v>
      </c>
      <c r="BY86" s="2140">
        <v>0</v>
      </c>
      <c r="BZ86" s="2140">
        <v>0</v>
      </c>
      <c r="CA86" s="2140">
        <v>0</v>
      </c>
      <c r="CB86" s="2140"/>
      <c r="CC86" s="2140"/>
      <c r="CD86" s="2140"/>
      <c r="CE86" s="2554"/>
    </row>
    <row r="87" spans="1:84" hidden="1">
      <c r="B87" s="2080" t="str">
        <f t="shared" si="72"/>
        <v>2.3.1</v>
      </c>
      <c r="C87" s="2162" t="str">
        <f t="shared" si="51"/>
        <v>屋上（屋根）・外壁仕上げ材の更新</v>
      </c>
      <c r="D87" s="2093">
        <f t="shared" ref="D87:E89" si="74">IF(I$79&gt;0,G87/I$79,0)</f>
        <v>0</v>
      </c>
      <c r="E87" s="2105">
        <f t="shared" si="74"/>
        <v>0</v>
      </c>
      <c r="G87" s="2105">
        <f t="shared" si="52"/>
        <v>0</v>
      </c>
      <c r="H87" s="2105">
        <f t="shared" si="53"/>
        <v>0</v>
      </c>
      <c r="I87" s="2105"/>
      <c r="J87" s="2105"/>
      <c r="K87" s="2105">
        <f>IF(スコア!M87=0,0,1)</f>
        <v>1</v>
      </c>
      <c r="L87" s="2105">
        <f>IF(スコア!O91=0,0,1)</f>
        <v>0</v>
      </c>
      <c r="M87" s="2105">
        <f t="shared" si="54"/>
        <v>0</v>
      </c>
      <c r="N87" s="2105">
        <f t="shared" si="55"/>
        <v>0</v>
      </c>
      <c r="P87" s="2106" t="str">
        <f t="shared" si="56"/>
        <v>2.3.1</v>
      </c>
      <c r="Q87" s="2106" t="str">
        <f t="shared" si="57"/>
        <v xml:space="preserve"> Q2 2.3</v>
      </c>
      <c r="R87" s="2107" t="str">
        <f t="shared" si="58"/>
        <v>屋上（屋根）・外壁仕上げ材の更新</v>
      </c>
      <c r="S87" s="2108">
        <f t="shared" si="59"/>
        <v>0</v>
      </c>
      <c r="T87" s="2108">
        <f t="shared" si="60"/>
        <v>0</v>
      </c>
      <c r="U87" s="2108">
        <f t="shared" si="61"/>
        <v>0</v>
      </c>
      <c r="V87" s="2108">
        <f t="shared" si="62"/>
        <v>0</v>
      </c>
      <c r="W87" s="2108">
        <f t="shared" si="63"/>
        <v>0</v>
      </c>
      <c r="X87" s="2108">
        <f t="shared" si="64"/>
        <v>0</v>
      </c>
      <c r="Y87" s="2108">
        <f t="shared" si="65"/>
        <v>0</v>
      </c>
      <c r="Z87" s="2117">
        <f t="shared" si="66"/>
        <v>0</v>
      </c>
      <c r="AA87" s="2108">
        <f t="shared" si="67"/>
        <v>0</v>
      </c>
      <c r="AB87" s="2108">
        <f t="shared" si="68"/>
        <v>0</v>
      </c>
      <c r="AC87" s="2109">
        <f t="shared" si="69"/>
        <v>0</v>
      </c>
      <c r="AD87" s="2108">
        <f t="shared" si="70"/>
        <v>0</v>
      </c>
      <c r="AE87" s="2108">
        <f t="shared" si="71"/>
        <v>0</v>
      </c>
      <c r="AG87" s="2106" t="s">
        <v>3002</v>
      </c>
      <c r="AH87" s="2106" t="s">
        <v>3003</v>
      </c>
      <c r="AI87" s="2110" t="s">
        <v>83</v>
      </c>
      <c r="AJ87" s="2151">
        <v>0.33333333333333331</v>
      </c>
      <c r="AK87" s="2151">
        <v>0.33333333333333331</v>
      </c>
      <c r="AL87" s="2151">
        <v>0.33333333333333331</v>
      </c>
      <c r="AM87" s="2151">
        <v>0.33333333333333331</v>
      </c>
      <c r="AN87" s="2151">
        <v>0.33333333333333331</v>
      </c>
      <c r="AO87" s="2151">
        <v>0.33333333333333331</v>
      </c>
      <c r="AP87" s="2151">
        <v>0.33333333333333331</v>
      </c>
      <c r="AQ87" s="2151">
        <v>0.33333333333333331</v>
      </c>
      <c r="AR87" s="2151">
        <v>0.33333333333333331</v>
      </c>
      <c r="AS87" s="2113">
        <v>0.33333333333333331</v>
      </c>
      <c r="AT87" s="2113"/>
      <c r="AU87" s="2114"/>
      <c r="AV87" s="2113"/>
      <c r="AX87" s="2134" t="s">
        <v>3004</v>
      </c>
      <c r="AY87" s="756" t="s">
        <v>2255</v>
      </c>
      <c r="AZ87" s="2139" t="s">
        <v>2204</v>
      </c>
      <c r="BA87" s="2140">
        <v>0</v>
      </c>
      <c r="BB87" s="2140">
        <v>0</v>
      </c>
      <c r="BC87" s="2140">
        <v>0</v>
      </c>
      <c r="BD87" s="2140">
        <v>0</v>
      </c>
      <c r="BE87" s="2140">
        <v>0</v>
      </c>
      <c r="BF87" s="2140">
        <v>0</v>
      </c>
      <c r="BG87" s="2140">
        <v>0</v>
      </c>
      <c r="BH87" s="2140">
        <v>0</v>
      </c>
      <c r="BI87" s="2140">
        <v>0</v>
      </c>
      <c r="BJ87" s="2140">
        <v>0</v>
      </c>
      <c r="BK87" s="2142"/>
      <c r="BL87" s="2140"/>
      <c r="BM87" s="2140"/>
      <c r="BO87" s="2134" t="s">
        <v>3004</v>
      </c>
      <c r="BP87" s="756" t="s">
        <v>2255</v>
      </c>
      <c r="BQ87" s="2139" t="s">
        <v>83</v>
      </c>
      <c r="BR87" s="2140">
        <v>0</v>
      </c>
      <c r="BS87" s="2140">
        <v>0</v>
      </c>
      <c r="BT87" s="2140">
        <v>0</v>
      </c>
      <c r="BU87" s="2140">
        <v>0</v>
      </c>
      <c r="BV87" s="2140">
        <v>0</v>
      </c>
      <c r="BW87" s="2140">
        <v>0</v>
      </c>
      <c r="BX87" s="2140">
        <v>0</v>
      </c>
      <c r="BY87" s="2140">
        <v>0</v>
      </c>
      <c r="BZ87" s="2140">
        <v>0</v>
      </c>
      <c r="CA87" s="2140">
        <v>0</v>
      </c>
      <c r="CB87" s="2140"/>
      <c r="CC87" s="2140"/>
      <c r="CD87" s="2140"/>
      <c r="CE87" s="2554"/>
    </row>
    <row r="88" spans="1:84" hidden="1">
      <c r="B88" s="2080" t="str">
        <f t="shared" si="72"/>
        <v>2.3.2</v>
      </c>
      <c r="C88" s="2162" t="str">
        <f t="shared" si="51"/>
        <v>配管・配線材の更新</v>
      </c>
      <c r="D88" s="2093">
        <f t="shared" si="74"/>
        <v>0</v>
      </c>
      <c r="E88" s="2105">
        <f t="shared" si="74"/>
        <v>0</v>
      </c>
      <c r="G88" s="2105">
        <f t="shared" si="52"/>
        <v>0</v>
      </c>
      <c r="H88" s="2105">
        <f t="shared" si="53"/>
        <v>0</v>
      </c>
      <c r="I88" s="2105"/>
      <c r="J88" s="2105"/>
      <c r="K88" s="2105">
        <f>IF(スコア!M88=0,0,1)</f>
        <v>1</v>
      </c>
      <c r="L88" s="2105">
        <f>IF(スコア!O92=0,0,1)</f>
        <v>0</v>
      </c>
      <c r="M88" s="2105">
        <f t="shared" si="54"/>
        <v>0</v>
      </c>
      <c r="N88" s="2105">
        <f t="shared" si="55"/>
        <v>0</v>
      </c>
      <c r="P88" s="2106" t="str">
        <f t="shared" si="56"/>
        <v>2.3.2</v>
      </c>
      <c r="Q88" s="2106" t="str">
        <f t="shared" si="57"/>
        <v xml:space="preserve"> Q2 2.3</v>
      </c>
      <c r="R88" s="2107" t="str">
        <f t="shared" si="58"/>
        <v>配管・配線材の更新</v>
      </c>
      <c r="S88" s="2108">
        <f t="shared" si="59"/>
        <v>0</v>
      </c>
      <c r="T88" s="2108">
        <f t="shared" si="60"/>
        <v>0</v>
      </c>
      <c r="U88" s="2108">
        <f t="shared" si="61"/>
        <v>0</v>
      </c>
      <c r="V88" s="2108">
        <f t="shared" si="62"/>
        <v>0</v>
      </c>
      <c r="W88" s="2108">
        <f t="shared" si="63"/>
        <v>0</v>
      </c>
      <c r="X88" s="2108">
        <f t="shared" si="64"/>
        <v>0</v>
      </c>
      <c r="Y88" s="2108">
        <f t="shared" si="65"/>
        <v>0</v>
      </c>
      <c r="Z88" s="2117">
        <f t="shared" si="66"/>
        <v>0</v>
      </c>
      <c r="AA88" s="2108">
        <f t="shared" si="67"/>
        <v>0</v>
      </c>
      <c r="AB88" s="2108">
        <f t="shared" si="68"/>
        <v>0</v>
      </c>
      <c r="AC88" s="2109">
        <f t="shared" si="69"/>
        <v>0</v>
      </c>
      <c r="AD88" s="2108">
        <f t="shared" si="70"/>
        <v>0</v>
      </c>
      <c r="AE88" s="2108">
        <f t="shared" si="71"/>
        <v>0</v>
      </c>
      <c r="AG88" s="2106" t="s">
        <v>3005</v>
      </c>
      <c r="AH88" s="2106" t="s">
        <v>3006</v>
      </c>
      <c r="AI88" s="2110" t="s">
        <v>84</v>
      </c>
      <c r="AJ88" s="2151">
        <v>0.33333333333333331</v>
      </c>
      <c r="AK88" s="2151">
        <v>0.33333333333333331</v>
      </c>
      <c r="AL88" s="2151">
        <v>0.33333333333333331</v>
      </c>
      <c r="AM88" s="2151">
        <v>0.33333333333333331</v>
      </c>
      <c r="AN88" s="2151">
        <v>0.33333333333333331</v>
      </c>
      <c r="AO88" s="2151">
        <v>0.33333333333333331</v>
      </c>
      <c r="AP88" s="2151">
        <v>0.33333333333333331</v>
      </c>
      <c r="AQ88" s="2151">
        <v>0.33333333333333331</v>
      </c>
      <c r="AR88" s="2151">
        <v>0.33333333333333331</v>
      </c>
      <c r="AS88" s="2113">
        <v>0.33333333333333331</v>
      </c>
      <c r="AT88" s="2113"/>
      <c r="AU88" s="2114"/>
      <c r="AV88" s="2113"/>
      <c r="AX88" s="2134" t="s">
        <v>1511</v>
      </c>
      <c r="AY88" s="756" t="s">
        <v>2255</v>
      </c>
      <c r="AZ88" s="2139" t="s">
        <v>2205</v>
      </c>
      <c r="BA88" s="2140">
        <v>0</v>
      </c>
      <c r="BB88" s="2140">
        <v>0</v>
      </c>
      <c r="BC88" s="2140">
        <v>0</v>
      </c>
      <c r="BD88" s="2140">
        <v>0</v>
      </c>
      <c r="BE88" s="2140">
        <v>0</v>
      </c>
      <c r="BF88" s="2140">
        <v>0</v>
      </c>
      <c r="BG88" s="2140">
        <v>0</v>
      </c>
      <c r="BH88" s="2140">
        <v>0</v>
      </c>
      <c r="BI88" s="2140">
        <v>0</v>
      </c>
      <c r="BJ88" s="2140">
        <v>0</v>
      </c>
      <c r="BK88" s="2142"/>
      <c r="BL88" s="2140"/>
      <c r="BM88" s="2140"/>
      <c r="BO88" s="2134" t="s">
        <v>1511</v>
      </c>
      <c r="BP88" s="756" t="s">
        <v>2255</v>
      </c>
      <c r="BQ88" s="2139" t="s">
        <v>84</v>
      </c>
      <c r="BR88" s="2140">
        <v>0</v>
      </c>
      <c r="BS88" s="2140">
        <v>0</v>
      </c>
      <c r="BT88" s="2140">
        <v>0</v>
      </c>
      <c r="BU88" s="2140">
        <v>0</v>
      </c>
      <c r="BV88" s="2140">
        <v>0</v>
      </c>
      <c r="BW88" s="2140">
        <v>0</v>
      </c>
      <c r="BX88" s="2140">
        <v>0</v>
      </c>
      <c r="BY88" s="2140">
        <v>0</v>
      </c>
      <c r="BZ88" s="2140">
        <v>0</v>
      </c>
      <c r="CA88" s="2140">
        <v>0</v>
      </c>
      <c r="CB88" s="2140"/>
      <c r="CC88" s="2140"/>
      <c r="CD88" s="2140"/>
      <c r="CE88" s="2554"/>
    </row>
    <row r="89" spans="1:84" hidden="1">
      <c r="B89" s="2080" t="str">
        <f t="shared" si="72"/>
        <v>2.3.3</v>
      </c>
      <c r="C89" s="2162" t="str">
        <f t="shared" si="51"/>
        <v>主要設備機器の更新</v>
      </c>
      <c r="D89" s="2093">
        <f t="shared" si="74"/>
        <v>0</v>
      </c>
      <c r="E89" s="2105">
        <f t="shared" si="74"/>
        <v>0</v>
      </c>
      <c r="G89" s="2105">
        <f t="shared" si="52"/>
        <v>0</v>
      </c>
      <c r="H89" s="2105">
        <f t="shared" si="53"/>
        <v>0</v>
      </c>
      <c r="I89" s="2105"/>
      <c r="J89" s="2105"/>
      <c r="K89" s="2105">
        <f>IF(スコア!M89=0,0,1)</f>
        <v>1</v>
      </c>
      <c r="L89" s="2105">
        <f>IF(スコア!O93=0,0,1)</f>
        <v>0</v>
      </c>
      <c r="M89" s="2105">
        <f t="shared" si="54"/>
        <v>0</v>
      </c>
      <c r="N89" s="2105">
        <f t="shared" si="55"/>
        <v>0</v>
      </c>
      <c r="P89" s="2106" t="str">
        <f t="shared" si="56"/>
        <v>2.3.3</v>
      </c>
      <c r="Q89" s="2106" t="str">
        <f t="shared" si="57"/>
        <v xml:space="preserve"> Q2 2.3</v>
      </c>
      <c r="R89" s="2107" t="str">
        <f t="shared" si="58"/>
        <v>主要設備機器の更新</v>
      </c>
      <c r="S89" s="2108">
        <f t="shared" si="59"/>
        <v>0</v>
      </c>
      <c r="T89" s="2108">
        <f t="shared" si="60"/>
        <v>0</v>
      </c>
      <c r="U89" s="2108">
        <f t="shared" si="61"/>
        <v>0</v>
      </c>
      <c r="V89" s="2108">
        <f t="shared" si="62"/>
        <v>0</v>
      </c>
      <c r="W89" s="2108">
        <f t="shared" si="63"/>
        <v>0</v>
      </c>
      <c r="X89" s="2108">
        <f t="shared" si="64"/>
        <v>0</v>
      </c>
      <c r="Y89" s="2108">
        <f t="shared" si="65"/>
        <v>0</v>
      </c>
      <c r="Z89" s="2117">
        <f t="shared" si="66"/>
        <v>0</v>
      </c>
      <c r="AA89" s="2108">
        <f t="shared" si="67"/>
        <v>0</v>
      </c>
      <c r="AB89" s="2108">
        <f t="shared" si="68"/>
        <v>0</v>
      </c>
      <c r="AC89" s="2109">
        <f t="shared" si="69"/>
        <v>0</v>
      </c>
      <c r="AD89" s="2108">
        <f t="shared" si="70"/>
        <v>0</v>
      </c>
      <c r="AE89" s="2108">
        <f t="shared" si="71"/>
        <v>0</v>
      </c>
      <c r="AG89" s="2106" t="s">
        <v>1512</v>
      </c>
      <c r="AH89" s="2106" t="s">
        <v>1513</v>
      </c>
      <c r="AI89" s="2110" t="s">
        <v>2256</v>
      </c>
      <c r="AJ89" s="2151">
        <v>0.33333333333333331</v>
      </c>
      <c r="AK89" s="2151">
        <v>0.33333333333333331</v>
      </c>
      <c r="AL89" s="2151">
        <v>0.33333333333333331</v>
      </c>
      <c r="AM89" s="2151">
        <v>0.33333333333333331</v>
      </c>
      <c r="AN89" s="2151">
        <v>0.33333333333333331</v>
      </c>
      <c r="AO89" s="2151">
        <v>0.33333333333333331</v>
      </c>
      <c r="AP89" s="2151">
        <v>0.33333333333333331</v>
      </c>
      <c r="AQ89" s="2151">
        <v>0.33333333333333331</v>
      </c>
      <c r="AR89" s="2151">
        <v>0.33333333333333331</v>
      </c>
      <c r="AS89" s="2113">
        <v>0.33333333333333331</v>
      </c>
      <c r="AT89" s="2113"/>
      <c r="AU89" s="2114"/>
      <c r="AV89" s="2113"/>
      <c r="AX89" s="2134" t="s">
        <v>1514</v>
      </c>
      <c r="AY89" s="756" t="s">
        <v>2255</v>
      </c>
      <c r="AZ89" s="2139" t="s">
        <v>2206</v>
      </c>
      <c r="BA89" s="2140">
        <v>0</v>
      </c>
      <c r="BB89" s="2140">
        <v>0</v>
      </c>
      <c r="BC89" s="2140">
        <v>0</v>
      </c>
      <c r="BD89" s="2140">
        <v>0</v>
      </c>
      <c r="BE89" s="2140">
        <v>0</v>
      </c>
      <c r="BF89" s="2140">
        <v>0</v>
      </c>
      <c r="BG89" s="2140">
        <v>0</v>
      </c>
      <c r="BH89" s="2140">
        <v>0</v>
      </c>
      <c r="BI89" s="2140">
        <v>0</v>
      </c>
      <c r="BJ89" s="2140">
        <v>0</v>
      </c>
      <c r="BK89" s="2142"/>
      <c r="BL89" s="2140"/>
      <c r="BM89" s="2140"/>
      <c r="BO89" s="2134" t="s">
        <v>1514</v>
      </c>
      <c r="BP89" s="756" t="s">
        <v>2255</v>
      </c>
      <c r="BQ89" s="2139" t="s">
        <v>2256</v>
      </c>
      <c r="BR89" s="2140">
        <v>0</v>
      </c>
      <c r="BS89" s="2140">
        <v>0</v>
      </c>
      <c r="BT89" s="2140">
        <v>0</v>
      </c>
      <c r="BU89" s="2140">
        <v>0</v>
      </c>
      <c r="BV89" s="2140">
        <v>0</v>
      </c>
      <c r="BW89" s="2140">
        <v>0</v>
      </c>
      <c r="BX89" s="2140">
        <v>0</v>
      </c>
      <c r="BY89" s="2140">
        <v>0</v>
      </c>
      <c r="BZ89" s="2140">
        <v>0</v>
      </c>
      <c r="CA89" s="2140">
        <v>0</v>
      </c>
      <c r="CB89" s="2140"/>
      <c r="CC89" s="2140"/>
      <c r="CD89" s="2140"/>
      <c r="CE89" s="2554"/>
    </row>
    <row r="90" spans="1:84">
      <c r="B90" s="2080">
        <f t="shared" si="72"/>
        <v>2.4</v>
      </c>
      <c r="C90" s="2107" t="str">
        <f t="shared" si="51"/>
        <v>信頼性</v>
      </c>
      <c r="D90" s="2104">
        <f>IF(I$75=0,0,G90/I$75)</f>
        <v>0.2</v>
      </c>
      <c r="E90" s="2105">
        <f>IF(J$75=0,0,H90/J$75)</f>
        <v>0</v>
      </c>
      <c r="G90" s="2105">
        <f t="shared" si="52"/>
        <v>0.2</v>
      </c>
      <c r="H90" s="2105">
        <f t="shared" si="53"/>
        <v>0</v>
      </c>
      <c r="I90" s="2105">
        <f>SUM(G91:G95)</f>
        <v>1</v>
      </c>
      <c r="J90" s="2105">
        <f>SUM(H91:H95)</f>
        <v>0</v>
      </c>
      <c r="K90" s="2105">
        <f>IF(スコア!M90=0,0,1)</f>
        <v>1</v>
      </c>
      <c r="L90" s="2105">
        <f>IF(スコア!O90=0,0,1)</f>
        <v>0</v>
      </c>
      <c r="M90" s="2105">
        <f t="shared" si="54"/>
        <v>0.2</v>
      </c>
      <c r="N90" s="2105">
        <f t="shared" si="55"/>
        <v>0</v>
      </c>
      <c r="P90" s="2106">
        <f t="shared" si="56"/>
        <v>2.4</v>
      </c>
      <c r="Q90" s="2106" t="str">
        <f t="shared" si="57"/>
        <v xml:space="preserve"> Q2 2</v>
      </c>
      <c r="R90" s="2107" t="str">
        <f t="shared" si="58"/>
        <v>信頼性</v>
      </c>
      <c r="S90" s="2108">
        <f t="shared" si="59"/>
        <v>0.2</v>
      </c>
      <c r="T90" s="2108">
        <f t="shared" si="60"/>
        <v>0.2</v>
      </c>
      <c r="U90" s="2108">
        <f t="shared" si="61"/>
        <v>0.2</v>
      </c>
      <c r="V90" s="2108">
        <f t="shared" si="62"/>
        <v>0.2</v>
      </c>
      <c r="W90" s="2108">
        <f t="shared" si="63"/>
        <v>0.2</v>
      </c>
      <c r="X90" s="2108">
        <f t="shared" si="64"/>
        <v>0.2</v>
      </c>
      <c r="Y90" s="2108">
        <f t="shared" si="65"/>
        <v>0.2</v>
      </c>
      <c r="Z90" s="2117">
        <f t="shared" si="66"/>
        <v>0.2</v>
      </c>
      <c r="AA90" s="2108">
        <f t="shared" si="67"/>
        <v>0.2</v>
      </c>
      <c r="AB90" s="2108">
        <f t="shared" si="68"/>
        <v>0.2</v>
      </c>
      <c r="AC90" s="2109">
        <f t="shared" si="69"/>
        <v>0</v>
      </c>
      <c r="AD90" s="2108">
        <f t="shared" si="70"/>
        <v>0</v>
      </c>
      <c r="AE90" s="2108">
        <f t="shared" si="71"/>
        <v>0</v>
      </c>
      <c r="AG90" s="2106">
        <v>2.4</v>
      </c>
      <c r="AH90" s="2110" t="s">
        <v>2245</v>
      </c>
      <c r="AI90" s="2107" t="s">
        <v>86</v>
      </c>
      <c r="AJ90" s="2108">
        <v>0.25</v>
      </c>
      <c r="AK90" s="2108">
        <v>0.25</v>
      </c>
      <c r="AL90" s="2108">
        <v>0.25</v>
      </c>
      <c r="AM90" s="2108">
        <v>0.25</v>
      </c>
      <c r="AN90" s="2108">
        <v>0.25</v>
      </c>
      <c r="AO90" s="2108">
        <v>0.25</v>
      </c>
      <c r="AP90" s="2108">
        <v>0.25</v>
      </c>
      <c r="AQ90" s="2117">
        <v>0.25</v>
      </c>
      <c r="AR90" s="2108">
        <v>0.25</v>
      </c>
      <c r="AS90" s="2113">
        <v>0.25</v>
      </c>
      <c r="AT90" s="2114">
        <v>0</v>
      </c>
      <c r="AU90" s="2113">
        <v>0</v>
      </c>
      <c r="AV90" s="2113">
        <v>0</v>
      </c>
      <c r="AX90" s="2106">
        <v>2.4</v>
      </c>
      <c r="AY90" s="2110" t="s">
        <v>2245</v>
      </c>
      <c r="AZ90" s="2107" t="s">
        <v>2207</v>
      </c>
      <c r="BA90" s="2113">
        <v>0.2</v>
      </c>
      <c r="BB90" s="2113">
        <v>0.2</v>
      </c>
      <c r="BC90" s="2113">
        <v>0.2</v>
      </c>
      <c r="BD90" s="2113">
        <v>0.2</v>
      </c>
      <c r="BE90" s="2113">
        <v>0.2</v>
      </c>
      <c r="BF90" s="2113">
        <v>0.2</v>
      </c>
      <c r="BG90" s="2113">
        <v>0.2</v>
      </c>
      <c r="BH90" s="2120">
        <v>0.2</v>
      </c>
      <c r="BI90" s="2113">
        <v>0.2</v>
      </c>
      <c r="BJ90" s="2113">
        <v>0.2</v>
      </c>
      <c r="BK90" s="2114"/>
      <c r="BL90" s="2113"/>
      <c r="BM90" s="2113"/>
      <c r="BO90" s="2106">
        <v>2.4</v>
      </c>
      <c r="BP90" s="2110" t="s">
        <v>2245</v>
      </c>
      <c r="BQ90" s="2107" t="s">
        <v>86</v>
      </c>
      <c r="BR90" s="2113">
        <v>0.2</v>
      </c>
      <c r="BS90" s="2113">
        <v>0.2</v>
      </c>
      <c r="BT90" s="2113">
        <v>0.2</v>
      </c>
      <c r="BU90" s="2113">
        <v>0.2</v>
      </c>
      <c r="BV90" s="2113">
        <v>0.2</v>
      </c>
      <c r="BW90" s="2113">
        <v>0.2</v>
      </c>
      <c r="BX90" s="2113">
        <v>0.2</v>
      </c>
      <c r="BY90" s="2120">
        <v>0.2</v>
      </c>
      <c r="BZ90" s="2113">
        <v>0.2</v>
      </c>
      <c r="CA90" s="2113">
        <v>0.2</v>
      </c>
      <c r="CB90" s="2114"/>
      <c r="CC90" s="2113"/>
      <c r="CD90" s="2113"/>
      <c r="CE90" s="2554"/>
    </row>
    <row r="91" spans="1:84">
      <c r="B91" s="2080" t="str">
        <f t="shared" si="72"/>
        <v>2.4.1</v>
      </c>
      <c r="C91" s="2103" t="str">
        <f t="shared" si="51"/>
        <v>空調・換気設備</v>
      </c>
      <c r="D91" s="2093">
        <f t="shared" ref="D91:E95" si="75">IF(I$90&gt;0,G91/I$90,0)</f>
        <v>0.2</v>
      </c>
      <c r="E91" s="2105">
        <f t="shared" si="75"/>
        <v>0</v>
      </c>
      <c r="G91" s="2105">
        <f t="shared" si="52"/>
        <v>0.2</v>
      </c>
      <c r="H91" s="2105">
        <f t="shared" si="53"/>
        <v>0</v>
      </c>
      <c r="I91" s="2105"/>
      <c r="J91" s="2105"/>
      <c r="K91" s="2105">
        <f>IF(スコア!M91=0,0,1)</f>
        <v>1</v>
      </c>
      <c r="L91" s="2105">
        <f>IF(スコア!O91=0,0,1)</f>
        <v>0</v>
      </c>
      <c r="M91" s="2105">
        <f t="shared" si="54"/>
        <v>0.2</v>
      </c>
      <c r="N91" s="2105">
        <f t="shared" si="55"/>
        <v>0</v>
      </c>
      <c r="P91" s="2106" t="str">
        <f t="shared" si="56"/>
        <v>2.4.1</v>
      </c>
      <c r="Q91" s="2106" t="str">
        <f t="shared" si="57"/>
        <v xml:space="preserve"> Q2 2.4</v>
      </c>
      <c r="R91" s="2107" t="str">
        <f t="shared" si="58"/>
        <v>空調・換気設備</v>
      </c>
      <c r="S91" s="2108">
        <f t="shared" si="59"/>
        <v>0.2</v>
      </c>
      <c r="T91" s="2108">
        <f t="shared" si="60"/>
        <v>0.2</v>
      </c>
      <c r="U91" s="2108">
        <f t="shared" si="61"/>
        <v>0.2</v>
      </c>
      <c r="V91" s="2108">
        <f t="shared" si="62"/>
        <v>0.2</v>
      </c>
      <c r="W91" s="2108">
        <f t="shared" si="63"/>
        <v>0.2</v>
      </c>
      <c r="X91" s="2108">
        <f t="shared" si="64"/>
        <v>0.2</v>
      </c>
      <c r="Y91" s="2108">
        <f t="shared" si="65"/>
        <v>0.2</v>
      </c>
      <c r="Z91" s="2117">
        <f t="shared" si="66"/>
        <v>0.2</v>
      </c>
      <c r="AA91" s="2108">
        <f t="shared" si="67"/>
        <v>0.2</v>
      </c>
      <c r="AB91" s="2108">
        <f t="shared" si="68"/>
        <v>0.2</v>
      </c>
      <c r="AC91" s="2109">
        <f t="shared" si="69"/>
        <v>0</v>
      </c>
      <c r="AD91" s="2108">
        <f t="shared" si="70"/>
        <v>0</v>
      </c>
      <c r="AE91" s="2108">
        <f t="shared" si="71"/>
        <v>0</v>
      </c>
      <c r="AG91" s="2106" t="s">
        <v>1515</v>
      </c>
      <c r="AH91" s="2110" t="s">
        <v>2257</v>
      </c>
      <c r="AI91" s="2111" t="s">
        <v>2258</v>
      </c>
      <c r="AJ91" s="2108">
        <v>0.2</v>
      </c>
      <c r="AK91" s="2108">
        <v>0.2</v>
      </c>
      <c r="AL91" s="2108">
        <v>0.2</v>
      </c>
      <c r="AM91" s="2108">
        <v>0.2</v>
      </c>
      <c r="AN91" s="2108">
        <v>0.2</v>
      </c>
      <c r="AO91" s="2108">
        <v>0.2</v>
      </c>
      <c r="AP91" s="2108">
        <v>0.2</v>
      </c>
      <c r="AQ91" s="2117">
        <v>0.2</v>
      </c>
      <c r="AR91" s="2108">
        <v>0.2</v>
      </c>
      <c r="AS91" s="2113">
        <v>0.2</v>
      </c>
      <c r="AT91" s="2114">
        <v>0</v>
      </c>
      <c r="AU91" s="2113">
        <v>0</v>
      </c>
      <c r="AV91" s="2113">
        <v>0</v>
      </c>
      <c r="AX91" s="2106" t="s">
        <v>1515</v>
      </c>
      <c r="AY91" s="2110" t="s">
        <v>2257</v>
      </c>
      <c r="AZ91" s="2111" t="s">
        <v>2258</v>
      </c>
      <c r="BA91" s="2113">
        <v>0.2</v>
      </c>
      <c r="BB91" s="2113">
        <v>0.2</v>
      </c>
      <c r="BC91" s="2113">
        <v>0.2</v>
      </c>
      <c r="BD91" s="2113">
        <v>0.2</v>
      </c>
      <c r="BE91" s="2113">
        <v>0.2</v>
      </c>
      <c r="BF91" s="2113">
        <v>0.2</v>
      </c>
      <c r="BG91" s="2113">
        <v>0.2</v>
      </c>
      <c r="BH91" s="2120">
        <v>0.2</v>
      </c>
      <c r="BI91" s="2113">
        <v>0.2</v>
      </c>
      <c r="BJ91" s="2113">
        <v>0.2</v>
      </c>
      <c r="BK91" s="2114"/>
      <c r="BL91" s="2113"/>
      <c r="BM91" s="2113"/>
      <c r="BO91" s="2106" t="s">
        <v>1515</v>
      </c>
      <c r="BP91" s="2110" t="s">
        <v>2257</v>
      </c>
      <c r="BQ91" s="2111" t="s">
        <v>2258</v>
      </c>
      <c r="BR91" s="2113">
        <v>0.2</v>
      </c>
      <c r="BS91" s="2113">
        <v>0.2</v>
      </c>
      <c r="BT91" s="2113">
        <v>0.2</v>
      </c>
      <c r="BU91" s="2113">
        <v>0.2</v>
      </c>
      <c r="BV91" s="2113">
        <v>0.2</v>
      </c>
      <c r="BW91" s="2113">
        <v>0.2</v>
      </c>
      <c r="BX91" s="2113">
        <v>0.2</v>
      </c>
      <c r="BY91" s="2120">
        <v>0.2</v>
      </c>
      <c r="BZ91" s="2113">
        <v>0.2</v>
      </c>
      <c r="CA91" s="2113">
        <v>0.2</v>
      </c>
      <c r="CB91" s="2114"/>
      <c r="CC91" s="2113"/>
      <c r="CD91" s="2113"/>
      <c r="CE91" s="2554"/>
    </row>
    <row r="92" spans="1:84">
      <c r="B92" s="2080" t="str">
        <f t="shared" si="72"/>
        <v>2.4.2</v>
      </c>
      <c r="C92" s="2103" t="str">
        <f t="shared" si="51"/>
        <v>給排水・衛生設備</v>
      </c>
      <c r="D92" s="2093">
        <f t="shared" si="75"/>
        <v>0.2</v>
      </c>
      <c r="E92" s="2105">
        <f t="shared" si="75"/>
        <v>0</v>
      </c>
      <c r="G92" s="2105">
        <f t="shared" si="52"/>
        <v>0.2</v>
      </c>
      <c r="H92" s="2105">
        <f t="shared" si="53"/>
        <v>0</v>
      </c>
      <c r="I92" s="2105"/>
      <c r="J92" s="2105"/>
      <c r="K92" s="2105">
        <f>IF(スコア!M92=0,0,1)</f>
        <v>1</v>
      </c>
      <c r="L92" s="2105">
        <f>IF(スコア!O92=0,0,1)</f>
        <v>0</v>
      </c>
      <c r="M92" s="2105">
        <f t="shared" si="54"/>
        <v>0.2</v>
      </c>
      <c r="N92" s="2105">
        <f t="shared" si="55"/>
        <v>0</v>
      </c>
      <c r="P92" s="2106" t="str">
        <f t="shared" si="56"/>
        <v>2.4.2</v>
      </c>
      <c r="Q92" s="2106" t="str">
        <f t="shared" si="57"/>
        <v xml:space="preserve"> Q2 2.4</v>
      </c>
      <c r="R92" s="2107" t="str">
        <f t="shared" si="58"/>
        <v>給排水・衛生設備</v>
      </c>
      <c r="S92" s="2108">
        <f t="shared" si="59"/>
        <v>0.2</v>
      </c>
      <c r="T92" s="2108">
        <f t="shared" si="60"/>
        <v>0.2</v>
      </c>
      <c r="U92" s="2108">
        <f t="shared" si="61"/>
        <v>0.2</v>
      </c>
      <c r="V92" s="2108">
        <f t="shared" si="62"/>
        <v>0.2</v>
      </c>
      <c r="W92" s="2108">
        <f t="shared" si="63"/>
        <v>0.2</v>
      </c>
      <c r="X92" s="2108">
        <f t="shared" si="64"/>
        <v>0.2</v>
      </c>
      <c r="Y92" s="2108">
        <f t="shared" si="65"/>
        <v>0.2</v>
      </c>
      <c r="Z92" s="2117">
        <f t="shared" si="66"/>
        <v>0.2</v>
      </c>
      <c r="AA92" s="2108">
        <f t="shared" si="67"/>
        <v>0.2</v>
      </c>
      <c r="AB92" s="2108">
        <f t="shared" si="68"/>
        <v>0.2</v>
      </c>
      <c r="AC92" s="2109">
        <f t="shared" si="69"/>
        <v>0</v>
      </c>
      <c r="AD92" s="2108">
        <f t="shared" si="70"/>
        <v>0</v>
      </c>
      <c r="AE92" s="2108">
        <f t="shared" si="71"/>
        <v>0</v>
      </c>
      <c r="AG92" s="2106" t="s">
        <v>2259</v>
      </c>
      <c r="AH92" s="2110" t="s">
        <v>2257</v>
      </c>
      <c r="AI92" s="2111" t="s">
        <v>2260</v>
      </c>
      <c r="AJ92" s="2108">
        <v>0.2</v>
      </c>
      <c r="AK92" s="2108">
        <v>0.2</v>
      </c>
      <c r="AL92" s="2108">
        <v>0.2</v>
      </c>
      <c r="AM92" s="2108">
        <v>0.2</v>
      </c>
      <c r="AN92" s="2108">
        <v>0.2</v>
      </c>
      <c r="AO92" s="2108">
        <v>0.2</v>
      </c>
      <c r="AP92" s="2108">
        <v>0.2</v>
      </c>
      <c r="AQ92" s="2117">
        <v>0.2</v>
      </c>
      <c r="AR92" s="2108">
        <v>0.2</v>
      </c>
      <c r="AS92" s="2113">
        <v>0.2</v>
      </c>
      <c r="AT92" s="2114">
        <v>0</v>
      </c>
      <c r="AU92" s="2113">
        <v>0</v>
      </c>
      <c r="AV92" s="2113">
        <v>0</v>
      </c>
      <c r="AX92" s="2106" t="s">
        <v>2259</v>
      </c>
      <c r="AY92" s="2110" t="s">
        <v>2257</v>
      </c>
      <c r="AZ92" s="2111" t="s">
        <v>2260</v>
      </c>
      <c r="BA92" s="2113">
        <v>0.2</v>
      </c>
      <c r="BB92" s="2113">
        <v>0.2</v>
      </c>
      <c r="BC92" s="2113">
        <v>0.2</v>
      </c>
      <c r="BD92" s="2113">
        <v>0.2</v>
      </c>
      <c r="BE92" s="2113">
        <v>0.2</v>
      </c>
      <c r="BF92" s="2113">
        <v>0.2</v>
      </c>
      <c r="BG92" s="2113">
        <v>0.2</v>
      </c>
      <c r="BH92" s="2120">
        <v>0.2</v>
      </c>
      <c r="BI92" s="2113">
        <v>0.2</v>
      </c>
      <c r="BJ92" s="2113">
        <v>0.2</v>
      </c>
      <c r="BK92" s="2114"/>
      <c r="BL92" s="2113"/>
      <c r="BM92" s="2113"/>
      <c r="BO92" s="2106" t="s">
        <v>2259</v>
      </c>
      <c r="BP92" s="2110" t="s">
        <v>2257</v>
      </c>
      <c r="BQ92" s="2111" t="s">
        <v>2260</v>
      </c>
      <c r="BR92" s="2113">
        <v>0.2</v>
      </c>
      <c r="BS92" s="2113">
        <v>0.2</v>
      </c>
      <c r="BT92" s="2113">
        <v>0.2</v>
      </c>
      <c r="BU92" s="2113">
        <v>0.2</v>
      </c>
      <c r="BV92" s="2113">
        <v>0.2</v>
      </c>
      <c r="BW92" s="2113">
        <v>0.2</v>
      </c>
      <c r="BX92" s="2113">
        <v>0.2</v>
      </c>
      <c r="BY92" s="2120">
        <v>0.2</v>
      </c>
      <c r="BZ92" s="2113">
        <v>0.2</v>
      </c>
      <c r="CA92" s="2113">
        <v>0.2</v>
      </c>
      <c r="CB92" s="2114"/>
      <c r="CC92" s="2113"/>
      <c r="CD92" s="2113"/>
      <c r="CE92" s="2554"/>
    </row>
    <row r="93" spans="1:84">
      <c r="B93" s="2080" t="str">
        <f t="shared" si="72"/>
        <v>2.4.3</v>
      </c>
      <c r="C93" s="2103" t="str">
        <f t="shared" si="51"/>
        <v>電気設備</v>
      </c>
      <c r="D93" s="2093">
        <f t="shared" si="75"/>
        <v>0.2</v>
      </c>
      <c r="E93" s="2105">
        <f t="shared" si="75"/>
        <v>0</v>
      </c>
      <c r="G93" s="2105">
        <f t="shared" si="52"/>
        <v>0.2</v>
      </c>
      <c r="H93" s="2105">
        <f t="shared" si="53"/>
        <v>0</v>
      </c>
      <c r="I93" s="2105"/>
      <c r="J93" s="2105"/>
      <c r="K93" s="2105">
        <f>IF(スコア!M93=0,0,1)</f>
        <v>1</v>
      </c>
      <c r="L93" s="2105">
        <f>IF(スコア!O93=0,0,1)</f>
        <v>0</v>
      </c>
      <c r="M93" s="2105">
        <f t="shared" si="54"/>
        <v>0.2</v>
      </c>
      <c r="N93" s="2105">
        <f t="shared" si="55"/>
        <v>0</v>
      </c>
      <c r="P93" s="2106" t="str">
        <f t="shared" si="56"/>
        <v>2.4.3</v>
      </c>
      <c r="Q93" s="2106" t="str">
        <f t="shared" si="57"/>
        <v xml:space="preserve"> Q2 2.4</v>
      </c>
      <c r="R93" s="2107" t="str">
        <f t="shared" si="58"/>
        <v>電気設備</v>
      </c>
      <c r="S93" s="2108">
        <f t="shared" si="59"/>
        <v>0.2</v>
      </c>
      <c r="T93" s="2108">
        <f t="shared" si="60"/>
        <v>0.2</v>
      </c>
      <c r="U93" s="2108">
        <f t="shared" si="61"/>
        <v>0.2</v>
      </c>
      <c r="V93" s="2108">
        <f t="shared" si="62"/>
        <v>0.2</v>
      </c>
      <c r="W93" s="2108">
        <f t="shared" si="63"/>
        <v>0.2</v>
      </c>
      <c r="X93" s="2108">
        <f t="shared" si="64"/>
        <v>0.2</v>
      </c>
      <c r="Y93" s="2108">
        <f t="shared" si="65"/>
        <v>0.2</v>
      </c>
      <c r="Z93" s="2117">
        <f t="shared" si="66"/>
        <v>0.2</v>
      </c>
      <c r="AA93" s="2108">
        <f t="shared" si="67"/>
        <v>0.2</v>
      </c>
      <c r="AB93" s="2108">
        <f t="shared" si="68"/>
        <v>0.2</v>
      </c>
      <c r="AC93" s="2109">
        <f t="shared" si="69"/>
        <v>0</v>
      </c>
      <c r="AD93" s="2108">
        <f t="shared" si="70"/>
        <v>0</v>
      </c>
      <c r="AE93" s="2108">
        <f t="shared" si="71"/>
        <v>0</v>
      </c>
      <c r="AG93" s="2106" t="s">
        <v>2261</v>
      </c>
      <c r="AH93" s="2110" t="s">
        <v>2257</v>
      </c>
      <c r="AI93" s="2111" t="s">
        <v>2262</v>
      </c>
      <c r="AJ93" s="2108">
        <v>0.2</v>
      </c>
      <c r="AK93" s="2108">
        <v>0.2</v>
      </c>
      <c r="AL93" s="2108">
        <v>0.2</v>
      </c>
      <c r="AM93" s="2108">
        <v>0.2</v>
      </c>
      <c r="AN93" s="2108">
        <v>0.2</v>
      </c>
      <c r="AO93" s="2108">
        <v>0.2</v>
      </c>
      <c r="AP93" s="2108">
        <v>0.2</v>
      </c>
      <c r="AQ93" s="2117">
        <v>0.2</v>
      </c>
      <c r="AR93" s="2108">
        <v>0.2</v>
      </c>
      <c r="AS93" s="2113">
        <v>0.2</v>
      </c>
      <c r="AT93" s="2114">
        <v>0</v>
      </c>
      <c r="AU93" s="2113">
        <v>0</v>
      </c>
      <c r="AV93" s="2113">
        <v>0</v>
      </c>
      <c r="AX93" s="2106" t="s">
        <v>2261</v>
      </c>
      <c r="AY93" s="2110" t="s">
        <v>2257</v>
      </c>
      <c r="AZ93" s="2111" t="s">
        <v>2262</v>
      </c>
      <c r="BA93" s="2113">
        <v>0.2</v>
      </c>
      <c r="BB93" s="2113">
        <v>0.2</v>
      </c>
      <c r="BC93" s="2113">
        <v>0.2</v>
      </c>
      <c r="BD93" s="2113">
        <v>0.2</v>
      </c>
      <c r="BE93" s="2113">
        <v>0.2</v>
      </c>
      <c r="BF93" s="2113">
        <v>0.2</v>
      </c>
      <c r="BG93" s="2113">
        <v>0.2</v>
      </c>
      <c r="BH93" s="2120">
        <v>0.2</v>
      </c>
      <c r="BI93" s="2113">
        <v>0.2</v>
      </c>
      <c r="BJ93" s="2113">
        <v>0.2</v>
      </c>
      <c r="BK93" s="2114"/>
      <c r="BL93" s="2113"/>
      <c r="BM93" s="2113"/>
      <c r="BO93" s="2106" t="s">
        <v>2261</v>
      </c>
      <c r="BP93" s="2110" t="s">
        <v>2257</v>
      </c>
      <c r="BQ93" s="2111" t="s">
        <v>2262</v>
      </c>
      <c r="BR93" s="2113">
        <v>0.2</v>
      </c>
      <c r="BS93" s="2113">
        <v>0.2</v>
      </c>
      <c r="BT93" s="2113">
        <v>0.2</v>
      </c>
      <c r="BU93" s="2113">
        <v>0.2</v>
      </c>
      <c r="BV93" s="2113">
        <v>0.2</v>
      </c>
      <c r="BW93" s="2113">
        <v>0.2</v>
      </c>
      <c r="BX93" s="2113">
        <v>0.2</v>
      </c>
      <c r="BY93" s="2120">
        <v>0.2</v>
      </c>
      <c r="BZ93" s="2113">
        <v>0.2</v>
      </c>
      <c r="CA93" s="2113">
        <v>0.2</v>
      </c>
      <c r="CB93" s="2114"/>
      <c r="CC93" s="2113"/>
      <c r="CD93" s="2113"/>
      <c r="CE93" s="2554"/>
    </row>
    <row r="94" spans="1:84">
      <c r="B94" s="2080" t="str">
        <f t="shared" si="72"/>
        <v>2.4.4</v>
      </c>
      <c r="C94" s="2103" t="str">
        <f t="shared" si="51"/>
        <v>機械・配管支持方法</v>
      </c>
      <c r="D94" s="2093">
        <f t="shared" si="75"/>
        <v>0.2</v>
      </c>
      <c r="E94" s="2105">
        <f t="shared" si="75"/>
        <v>0</v>
      </c>
      <c r="G94" s="2105">
        <f t="shared" si="52"/>
        <v>0.2</v>
      </c>
      <c r="H94" s="2105">
        <f t="shared" si="53"/>
        <v>0</v>
      </c>
      <c r="I94" s="2105"/>
      <c r="J94" s="2105"/>
      <c r="K94" s="2105">
        <f>IF(スコア!M94=0,0,1)</f>
        <v>1</v>
      </c>
      <c r="L94" s="2105">
        <f>IF(スコア!O94=0,0,1)</f>
        <v>0</v>
      </c>
      <c r="M94" s="2105">
        <f t="shared" si="54"/>
        <v>0.2</v>
      </c>
      <c r="N94" s="2105">
        <f t="shared" si="55"/>
        <v>0</v>
      </c>
      <c r="P94" s="2106" t="str">
        <f t="shared" si="56"/>
        <v>2.4.4</v>
      </c>
      <c r="Q94" s="2106" t="str">
        <f t="shared" si="57"/>
        <v xml:space="preserve"> Q2 2.4</v>
      </c>
      <c r="R94" s="2107" t="str">
        <f t="shared" si="58"/>
        <v>機械・配管支持方法</v>
      </c>
      <c r="S94" s="2108">
        <f t="shared" si="59"/>
        <v>0.2</v>
      </c>
      <c r="T94" s="2108">
        <f t="shared" si="60"/>
        <v>0.2</v>
      </c>
      <c r="U94" s="2108">
        <f t="shared" si="61"/>
        <v>0.2</v>
      </c>
      <c r="V94" s="2108">
        <f t="shared" si="62"/>
        <v>0.2</v>
      </c>
      <c r="W94" s="2108">
        <f t="shared" si="63"/>
        <v>0.2</v>
      </c>
      <c r="X94" s="2108">
        <f t="shared" si="64"/>
        <v>0.2</v>
      </c>
      <c r="Y94" s="2108">
        <f t="shared" si="65"/>
        <v>0.2</v>
      </c>
      <c r="Z94" s="2117">
        <f t="shared" si="66"/>
        <v>0.2</v>
      </c>
      <c r="AA94" s="2108">
        <f t="shared" si="67"/>
        <v>0.2</v>
      </c>
      <c r="AB94" s="2108">
        <f t="shared" si="68"/>
        <v>0.2</v>
      </c>
      <c r="AC94" s="2109">
        <f t="shared" si="69"/>
        <v>0</v>
      </c>
      <c r="AD94" s="2108">
        <f t="shared" si="70"/>
        <v>0</v>
      </c>
      <c r="AE94" s="2108">
        <f t="shared" si="71"/>
        <v>0</v>
      </c>
      <c r="AG94" s="2106" t="s">
        <v>2263</v>
      </c>
      <c r="AH94" s="2110" t="s">
        <v>2257</v>
      </c>
      <c r="AI94" s="2111" t="s">
        <v>2264</v>
      </c>
      <c r="AJ94" s="2108">
        <v>0.2</v>
      </c>
      <c r="AK94" s="2108">
        <v>0.2</v>
      </c>
      <c r="AL94" s="2108">
        <v>0.2</v>
      </c>
      <c r="AM94" s="2108">
        <v>0.2</v>
      </c>
      <c r="AN94" s="2108">
        <v>0.2</v>
      </c>
      <c r="AO94" s="2108">
        <v>0.2</v>
      </c>
      <c r="AP94" s="2108">
        <v>0.2</v>
      </c>
      <c r="AQ94" s="2117">
        <v>0.2</v>
      </c>
      <c r="AR94" s="2108">
        <v>0.2</v>
      </c>
      <c r="AS94" s="2113">
        <v>0.2</v>
      </c>
      <c r="AT94" s="2114">
        <v>0</v>
      </c>
      <c r="AU94" s="2113">
        <v>0</v>
      </c>
      <c r="AV94" s="2113">
        <v>0</v>
      </c>
      <c r="AX94" s="2106" t="s">
        <v>2263</v>
      </c>
      <c r="AY94" s="2110" t="s">
        <v>2257</v>
      </c>
      <c r="AZ94" s="2111" t="s">
        <v>2264</v>
      </c>
      <c r="BA94" s="2113">
        <v>0.2</v>
      </c>
      <c r="BB94" s="2113">
        <v>0.2</v>
      </c>
      <c r="BC94" s="2113">
        <v>0.2</v>
      </c>
      <c r="BD94" s="2113">
        <v>0.2</v>
      </c>
      <c r="BE94" s="2113">
        <v>0.2</v>
      </c>
      <c r="BF94" s="2113">
        <v>0.2</v>
      </c>
      <c r="BG94" s="2113">
        <v>0.2</v>
      </c>
      <c r="BH94" s="2120">
        <v>0.2</v>
      </c>
      <c r="BI94" s="2113">
        <v>0.2</v>
      </c>
      <c r="BJ94" s="2113">
        <v>0.2</v>
      </c>
      <c r="BK94" s="2114"/>
      <c r="BL94" s="2113"/>
      <c r="BM94" s="2113"/>
      <c r="BO94" s="2106" t="s">
        <v>2263</v>
      </c>
      <c r="BP94" s="2110" t="s">
        <v>2257</v>
      </c>
      <c r="BQ94" s="2111" t="s">
        <v>2264</v>
      </c>
      <c r="BR94" s="2113">
        <v>0.2</v>
      </c>
      <c r="BS94" s="2113">
        <v>0.2</v>
      </c>
      <c r="BT94" s="2113">
        <v>0.2</v>
      </c>
      <c r="BU94" s="2113">
        <v>0.2</v>
      </c>
      <c r="BV94" s="2113">
        <v>0.2</v>
      </c>
      <c r="BW94" s="2113">
        <v>0.2</v>
      </c>
      <c r="BX94" s="2113">
        <v>0.2</v>
      </c>
      <c r="BY94" s="2120">
        <v>0.2</v>
      </c>
      <c r="BZ94" s="2113">
        <v>0.2</v>
      </c>
      <c r="CA94" s="2113">
        <v>0.2</v>
      </c>
      <c r="CB94" s="2114"/>
      <c r="CC94" s="2113"/>
      <c r="CD94" s="2113"/>
      <c r="CE94" s="2554"/>
    </row>
    <row r="95" spans="1:84">
      <c r="B95" s="2080" t="str">
        <f t="shared" si="72"/>
        <v>2.4.5</v>
      </c>
      <c r="C95" s="2103" t="str">
        <f t="shared" si="51"/>
        <v>通信・情報設備</v>
      </c>
      <c r="D95" s="2093">
        <f t="shared" si="75"/>
        <v>0.2</v>
      </c>
      <c r="E95" s="2105">
        <f t="shared" si="75"/>
        <v>0</v>
      </c>
      <c r="G95" s="2105">
        <f t="shared" si="52"/>
        <v>0.2</v>
      </c>
      <c r="H95" s="2105">
        <f t="shared" si="53"/>
        <v>0</v>
      </c>
      <c r="I95" s="2105"/>
      <c r="J95" s="2105"/>
      <c r="K95" s="2105">
        <f>IF(スコア!M95=0,0,1)</f>
        <v>1</v>
      </c>
      <c r="L95" s="2105">
        <f>IF(スコア!O95=0,0,1)</f>
        <v>0</v>
      </c>
      <c r="M95" s="2105">
        <f t="shared" si="54"/>
        <v>0.2</v>
      </c>
      <c r="N95" s="2105">
        <f t="shared" si="55"/>
        <v>0</v>
      </c>
      <c r="P95" s="2106" t="str">
        <f t="shared" si="56"/>
        <v>2.4.5</v>
      </c>
      <c r="Q95" s="2106" t="str">
        <f t="shared" si="57"/>
        <v xml:space="preserve"> Q2 2.4</v>
      </c>
      <c r="R95" s="2107" t="str">
        <f t="shared" si="58"/>
        <v>通信・情報設備</v>
      </c>
      <c r="S95" s="2108">
        <f t="shared" si="59"/>
        <v>0.2</v>
      </c>
      <c r="T95" s="2108">
        <f t="shared" si="60"/>
        <v>0.2</v>
      </c>
      <c r="U95" s="2108">
        <f t="shared" si="61"/>
        <v>0.2</v>
      </c>
      <c r="V95" s="2108">
        <f t="shared" si="62"/>
        <v>0.2</v>
      </c>
      <c r="W95" s="2108">
        <f t="shared" si="63"/>
        <v>0.2</v>
      </c>
      <c r="X95" s="2108">
        <f t="shared" si="64"/>
        <v>0.2</v>
      </c>
      <c r="Y95" s="2108">
        <f t="shared" si="65"/>
        <v>0.2</v>
      </c>
      <c r="Z95" s="2117">
        <f t="shared" si="66"/>
        <v>0.2</v>
      </c>
      <c r="AA95" s="2108">
        <f t="shared" si="67"/>
        <v>0.2</v>
      </c>
      <c r="AB95" s="2108">
        <f t="shared" si="68"/>
        <v>0.2</v>
      </c>
      <c r="AC95" s="2109">
        <f t="shared" si="69"/>
        <v>0</v>
      </c>
      <c r="AD95" s="2108">
        <f t="shared" si="70"/>
        <v>0</v>
      </c>
      <c r="AE95" s="2108">
        <f t="shared" si="71"/>
        <v>0</v>
      </c>
      <c r="AG95" s="2106" t="s">
        <v>2265</v>
      </c>
      <c r="AH95" s="2110" t="s">
        <v>2257</v>
      </c>
      <c r="AI95" s="2111" t="s">
        <v>2266</v>
      </c>
      <c r="AJ95" s="2108">
        <v>0.2</v>
      </c>
      <c r="AK95" s="2108">
        <v>0.2</v>
      </c>
      <c r="AL95" s="2108">
        <v>0.2</v>
      </c>
      <c r="AM95" s="2108">
        <v>0.2</v>
      </c>
      <c r="AN95" s="2108">
        <v>0.2</v>
      </c>
      <c r="AO95" s="2108">
        <v>0.2</v>
      </c>
      <c r="AP95" s="2108">
        <v>0.2</v>
      </c>
      <c r="AQ95" s="2117">
        <v>0.2</v>
      </c>
      <c r="AR95" s="2108">
        <v>0.2</v>
      </c>
      <c r="AS95" s="2113">
        <v>0.2</v>
      </c>
      <c r="AT95" s="2114">
        <v>0</v>
      </c>
      <c r="AU95" s="2113">
        <v>0</v>
      </c>
      <c r="AV95" s="2113">
        <v>0</v>
      </c>
      <c r="AX95" s="2106" t="s">
        <v>2265</v>
      </c>
      <c r="AY95" s="2110" t="s">
        <v>2257</v>
      </c>
      <c r="AZ95" s="2111" t="s">
        <v>2266</v>
      </c>
      <c r="BA95" s="2113">
        <v>0.2</v>
      </c>
      <c r="BB95" s="2113">
        <v>0.2</v>
      </c>
      <c r="BC95" s="2113">
        <v>0.2</v>
      </c>
      <c r="BD95" s="2113">
        <v>0.2</v>
      </c>
      <c r="BE95" s="2113">
        <v>0.2</v>
      </c>
      <c r="BF95" s="2113">
        <v>0.2</v>
      </c>
      <c r="BG95" s="2113">
        <v>0.2</v>
      </c>
      <c r="BH95" s="2120">
        <v>0.2</v>
      </c>
      <c r="BI95" s="2113">
        <v>0.2</v>
      </c>
      <c r="BJ95" s="2113">
        <v>0.2</v>
      </c>
      <c r="BK95" s="2114"/>
      <c r="BL95" s="2113"/>
      <c r="BM95" s="2113"/>
      <c r="BO95" s="2106" t="s">
        <v>2265</v>
      </c>
      <c r="BP95" s="2110" t="s">
        <v>2257</v>
      </c>
      <c r="BQ95" s="2111" t="s">
        <v>2266</v>
      </c>
      <c r="BR95" s="2113">
        <v>0.2</v>
      </c>
      <c r="BS95" s="2113">
        <v>0.2</v>
      </c>
      <c r="BT95" s="2113">
        <v>0.2</v>
      </c>
      <c r="BU95" s="2113">
        <v>0.2</v>
      </c>
      <c r="BV95" s="2113">
        <v>0.2</v>
      </c>
      <c r="BW95" s="2113">
        <v>0.2</v>
      </c>
      <c r="BX95" s="2113">
        <v>0.2</v>
      </c>
      <c r="BY95" s="2120">
        <v>0.2</v>
      </c>
      <c r="BZ95" s="2113">
        <v>0.2</v>
      </c>
      <c r="CA95" s="2113">
        <v>0.2</v>
      </c>
      <c r="CB95" s="2114"/>
      <c r="CC95" s="2113"/>
      <c r="CD95" s="2113"/>
      <c r="CE95" s="2554"/>
    </row>
    <row r="96" spans="1:84" hidden="1">
      <c r="B96" s="2080">
        <f t="shared" si="72"/>
        <v>0</v>
      </c>
      <c r="C96" s="2103">
        <f t="shared" si="51"/>
        <v>0</v>
      </c>
      <c r="D96" s="2093"/>
      <c r="E96" s="2105"/>
      <c r="G96" s="2105">
        <f t="shared" si="52"/>
        <v>0</v>
      </c>
      <c r="H96" s="2105">
        <f t="shared" si="53"/>
        <v>0</v>
      </c>
      <c r="I96" s="2105"/>
      <c r="J96" s="2105"/>
      <c r="K96" s="2105"/>
      <c r="L96" s="2105"/>
      <c r="M96" s="2105">
        <f t="shared" si="54"/>
        <v>0</v>
      </c>
      <c r="N96" s="2105"/>
      <c r="P96" s="2106">
        <f t="shared" si="56"/>
        <v>0</v>
      </c>
      <c r="Q96" s="2106" t="str">
        <f t="shared" si="57"/>
        <v xml:space="preserve"> Q</v>
      </c>
      <c r="R96" s="2107">
        <f t="shared" si="58"/>
        <v>0</v>
      </c>
      <c r="S96" s="2108">
        <f t="shared" si="59"/>
        <v>0</v>
      </c>
      <c r="T96" s="2108">
        <f t="shared" si="60"/>
        <v>0</v>
      </c>
      <c r="U96" s="2108">
        <f t="shared" si="61"/>
        <v>0</v>
      </c>
      <c r="V96" s="2108">
        <f t="shared" si="62"/>
        <v>0</v>
      </c>
      <c r="W96" s="2108">
        <f t="shared" si="63"/>
        <v>0</v>
      </c>
      <c r="X96" s="2108">
        <f t="shared" si="64"/>
        <v>0</v>
      </c>
      <c r="Y96" s="2108">
        <f t="shared" si="65"/>
        <v>0</v>
      </c>
      <c r="Z96" s="2117">
        <f t="shared" si="66"/>
        <v>0</v>
      </c>
      <c r="AA96" s="2108">
        <f t="shared" si="67"/>
        <v>0</v>
      </c>
      <c r="AB96" s="2108">
        <f t="shared" si="68"/>
        <v>0</v>
      </c>
      <c r="AC96" s="2109">
        <f t="shared" si="69"/>
        <v>0</v>
      </c>
      <c r="AD96" s="2108">
        <f t="shared" si="70"/>
        <v>0</v>
      </c>
      <c r="AE96" s="2108">
        <f t="shared" si="71"/>
        <v>0</v>
      </c>
      <c r="AG96" s="2106"/>
      <c r="AH96" s="2110" t="s">
        <v>1038</v>
      </c>
      <c r="AI96" s="2111"/>
      <c r="AJ96" s="2118">
        <v>0</v>
      </c>
      <c r="AK96" s="2118">
        <v>0</v>
      </c>
      <c r="AL96" s="2118">
        <v>0</v>
      </c>
      <c r="AM96" s="2118">
        <v>0</v>
      </c>
      <c r="AN96" s="2118">
        <v>0</v>
      </c>
      <c r="AO96" s="2118">
        <v>0</v>
      </c>
      <c r="AP96" s="2118">
        <v>0</v>
      </c>
      <c r="AQ96" s="2136">
        <v>0</v>
      </c>
      <c r="AR96" s="2118">
        <v>0</v>
      </c>
      <c r="AS96" s="2113"/>
      <c r="AT96" s="2114">
        <v>0</v>
      </c>
      <c r="AU96" s="2113">
        <v>0</v>
      </c>
      <c r="AV96" s="2113">
        <v>0</v>
      </c>
      <c r="AX96" s="2106"/>
      <c r="AY96" s="2110" t="s">
        <v>1038</v>
      </c>
      <c r="AZ96" s="2111"/>
      <c r="BA96" s="2113"/>
      <c r="BB96" s="2113"/>
      <c r="BC96" s="2113"/>
      <c r="BD96" s="2113"/>
      <c r="BE96" s="2113"/>
      <c r="BF96" s="2113"/>
      <c r="BG96" s="2113"/>
      <c r="BH96" s="2120"/>
      <c r="BI96" s="2113"/>
      <c r="BJ96" s="2113"/>
      <c r="BK96" s="2114"/>
      <c r="BL96" s="2113"/>
      <c r="BM96" s="2113"/>
      <c r="BO96" s="2106"/>
      <c r="BP96" s="2110" t="s">
        <v>1038</v>
      </c>
      <c r="BQ96" s="2111"/>
      <c r="BR96" s="2113"/>
      <c r="BS96" s="2113"/>
      <c r="BT96" s="2113"/>
      <c r="BU96" s="2113"/>
      <c r="BV96" s="2113"/>
      <c r="BW96" s="2113"/>
      <c r="BX96" s="2113"/>
      <c r="BY96" s="2120"/>
      <c r="BZ96" s="2113"/>
      <c r="CA96" s="2113"/>
      <c r="CB96" s="2114"/>
      <c r="CC96" s="2113"/>
      <c r="CD96" s="2113"/>
      <c r="CE96" s="2554"/>
    </row>
    <row r="97" spans="1:84" s="1485" customFormat="1">
      <c r="A97"/>
      <c r="B97" s="2080">
        <f t="shared" si="72"/>
        <v>3</v>
      </c>
      <c r="C97" s="2121" t="str">
        <f t="shared" si="51"/>
        <v>対応性・更新性</v>
      </c>
      <c r="D97" s="2091">
        <f>IF(I$61=0,0,G97/I$61)</f>
        <v>0.3</v>
      </c>
      <c r="E97" s="2092">
        <f>IF(J$61=0,0,H97/J$61)</f>
        <v>0</v>
      </c>
      <c r="F97"/>
      <c r="G97" s="2092">
        <f t="shared" si="52"/>
        <v>0.3</v>
      </c>
      <c r="H97" s="2092">
        <f t="shared" si="53"/>
        <v>0</v>
      </c>
      <c r="I97" s="2092">
        <f>G98+G101+G102</f>
        <v>1</v>
      </c>
      <c r="J97" s="2092">
        <f>H98+H101+H102</f>
        <v>0</v>
      </c>
      <c r="K97" s="2092">
        <f>IF(スコア!M97=0,0,1)</f>
        <v>1</v>
      </c>
      <c r="L97" s="2092">
        <f>IF(スコア!O97=0,0,1)</f>
        <v>0</v>
      </c>
      <c r="M97" s="2092">
        <f t="shared" si="54"/>
        <v>0.3</v>
      </c>
      <c r="N97" s="2092">
        <f t="shared" ref="N97:N114" si="76">(AC$7*AC97)+(AD$7*AD97)+(AE$7*AE97)</f>
        <v>0</v>
      </c>
      <c r="O97"/>
      <c r="P97" s="2094">
        <f t="shared" si="56"/>
        <v>3</v>
      </c>
      <c r="Q97" s="2094" t="str">
        <f t="shared" si="57"/>
        <v xml:space="preserve"> Q2</v>
      </c>
      <c r="R97" s="2095" t="str">
        <f t="shared" si="58"/>
        <v>対応性・更新性</v>
      </c>
      <c r="S97" s="2096">
        <f t="shared" si="59"/>
        <v>0.3</v>
      </c>
      <c r="T97" s="2096">
        <f t="shared" si="60"/>
        <v>0.3</v>
      </c>
      <c r="U97" s="2096">
        <f t="shared" si="61"/>
        <v>0.3</v>
      </c>
      <c r="V97" s="2096">
        <f t="shared" si="62"/>
        <v>0.3</v>
      </c>
      <c r="W97" s="2096">
        <f t="shared" si="63"/>
        <v>0.3</v>
      </c>
      <c r="X97" s="2096">
        <f t="shared" si="64"/>
        <v>0.3</v>
      </c>
      <c r="Y97" s="2096">
        <f t="shared" si="65"/>
        <v>0.3</v>
      </c>
      <c r="Z97" s="2160">
        <f t="shared" si="66"/>
        <v>0.3</v>
      </c>
      <c r="AA97" s="2096">
        <f t="shared" si="67"/>
        <v>0.3</v>
      </c>
      <c r="AB97" s="2096">
        <f t="shared" si="68"/>
        <v>0.3</v>
      </c>
      <c r="AC97" s="2098">
        <f t="shared" si="69"/>
        <v>0</v>
      </c>
      <c r="AD97" s="2096">
        <f t="shared" si="70"/>
        <v>0</v>
      </c>
      <c r="AE97" s="2096">
        <f t="shared" si="71"/>
        <v>0</v>
      </c>
      <c r="AF97"/>
      <c r="AG97" s="2094">
        <v>3</v>
      </c>
      <c r="AH97" s="2099" t="s">
        <v>2803</v>
      </c>
      <c r="AI97" s="2123" t="s">
        <v>161</v>
      </c>
      <c r="AJ97" s="2096">
        <v>0.3</v>
      </c>
      <c r="AK97" s="2096">
        <v>0.3</v>
      </c>
      <c r="AL97" s="2096">
        <v>0.3</v>
      </c>
      <c r="AM97" s="2096">
        <v>0.3</v>
      </c>
      <c r="AN97" s="2096">
        <v>0.3</v>
      </c>
      <c r="AO97" s="2096">
        <v>0.3</v>
      </c>
      <c r="AP97" s="2096">
        <v>0.3</v>
      </c>
      <c r="AQ97" s="2160">
        <v>0.3</v>
      </c>
      <c r="AR97" s="2096">
        <v>0.3</v>
      </c>
      <c r="AS97" s="2100">
        <v>0.3</v>
      </c>
      <c r="AT97" s="2101"/>
      <c r="AU97" s="2100"/>
      <c r="AV97" s="2100"/>
      <c r="AW97"/>
      <c r="AX97" s="2094">
        <v>3</v>
      </c>
      <c r="AY97" s="2099" t="s">
        <v>2803</v>
      </c>
      <c r="AZ97" s="2123" t="s">
        <v>161</v>
      </c>
      <c r="BA97" s="2100">
        <v>0.3</v>
      </c>
      <c r="BB97" s="2100">
        <v>0.3</v>
      </c>
      <c r="BC97" s="2100">
        <v>0.3</v>
      </c>
      <c r="BD97" s="2100">
        <v>0.3</v>
      </c>
      <c r="BE97" s="2100">
        <v>0.3</v>
      </c>
      <c r="BF97" s="2100">
        <v>0.3</v>
      </c>
      <c r="BG97" s="2100">
        <v>0.3</v>
      </c>
      <c r="BH97" s="2161">
        <v>0.3</v>
      </c>
      <c r="BI97" s="2100">
        <v>0.3</v>
      </c>
      <c r="BJ97" s="2100">
        <v>0.3</v>
      </c>
      <c r="BK97" s="2101"/>
      <c r="BL97" s="2100"/>
      <c r="BM97" s="2100"/>
      <c r="BN97"/>
      <c r="BO97" s="2094">
        <v>3</v>
      </c>
      <c r="BP97" s="2099" t="s">
        <v>2803</v>
      </c>
      <c r="BQ97" s="2123" t="s">
        <v>161</v>
      </c>
      <c r="BR97" s="2100">
        <v>0.3</v>
      </c>
      <c r="BS97" s="2100">
        <v>0.3</v>
      </c>
      <c r="BT97" s="2100">
        <v>0.3</v>
      </c>
      <c r="BU97" s="2100">
        <v>0.3</v>
      </c>
      <c r="BV97" s="2100">
        <v>0.3</v>
      </c>
      <c r="BW97" s="2100">
        <v>0.3</v>
      </c>
      <c r="BX97" s="2100">
        <v>0.3</v>
      </c>
      <c r="BY97" s="2161">
        <v>0.3</v>
      </c>
      <c r="BZ97" s="2100">
        <v>0.3</v>
      </c>
      <c r="CA97" s="2100">
        <v>0.3</v>
      </c>
      <c r="CB97" s="2101"/>
      <c r="CC97" s="2100"/>
      <c r="CD97" s="2100"/>
      <c r="CE97" s="2553"/>
      <c r="CF97"/>
    </row>
    <row r="98" spans="1:84">
      <c r="B98" s="2080">
        <f t="shared" si="72"/>
        <v>3.1</v>
      </c>
      <c r="C98" s="2107" t="str">
        <f t="shared" si="51"/>
        <v>空間のゆとり</v>
      </c>
      <c r="D98" s="2104">
        <f>IF(I$97=0,0,G98/I$97)</f>
        <v>0.3</v>
      </c>
      <c r="E98" s="2105">
        <f>IF(J$97=0,0,H98/J$97)</f>
        <v>0</v>
      </c>
      <c r="G98" s="2105">
        <f t="shared" si="52"/>
        <v>0.3</v>
      </c>
      <c r="H98" s="2105">
        <f t="shared" si="53"/>
        <v>0</v>
      </c>
      <c r="I98" s="2105">
        <f>SUM(G99:G100)</f>
        <v>1</v>
      </c>
      <c r="J98" s="2105">
        <f>SUM(H99:H100)</f>
        <v>0</v>
      </c>
      <c r="K98" s="2105">
        <f>IF(スコア!M98=0,0,1)</f>
        <v>1</v>
      </c>
      <c r="L98" s="2105">
        <f>IF(スコア!O98=0,0,1)</f>
        <v>0</v>
      </c>
      <c r="M98" s="2105">
        <f t="shared" si="54"/>
        <v>0.3</v>
      </c>
      <c r="N98" s="2105">
        <f t="shared" si="76"/>
        <v>0</v>
      </c>
      <c r="P98" s="2106">
        <f t="shared" si="56"/>
        <v>3.1</v>
      </c>
      <c r="Q98" s="2106" t="str">
        <f t="shared" si="57"/>
        <v xml:space="preserve"> Q2 3</v>
      </c>
      <c r="R98" s="2107" t="str">
        <f t="shared" si="58"/>
        <v>空間のゆとり</v>
      </c>
      <c r="S98" s="2108">
        <f t="shared" si="59"/>
        <v>0.3</v>
      </c>
      <c r="T98" s="2108">
        <f t="shared" si="60"/>
        <v>0.3</v>
      </c>
      <c r="U98" s="2108">
        <f t="shared" si="61"/>
        <v>0.3</v>
      </c>
      <c r="V98" s="2108">
        <f t="shared" si="62"/>
        <v>0.3</v>
      </c>
      <c r="W98" s="2108">
        <f t="shared" si="63"/>
        <v>0.3</v>
      </c>
      <c r="X98" s="2108">
        <f t="shared" si="64"/>
        <v>0</v>
      </c>
      <c r="Y98" s="2108">
        <f t="shared" si="65"/>
        <v>0</v>
      </c>
      <c r="Z98" s="2117">
        <f t="shared" si="66"/>
        <v>0.3</v>
      </c>
      <c r="AA98" s="2108">
        <f t="shared" si="67"/>
        <v>0.3</v>
      </c>
      <c r="AB98" s="2108">
        <f t="shared" si="68"/>
        <v>0.3</v>
      </c>
      <c r="AC98" s="2109">
        <f t="shared" si="69"/>
        <v>0.5</v>
      </c>
      <c r="AD98" s="2108">
        <f t="shared" si="70"/>
        <v>0.5</v>
      </c>
      <c r="AE98" s="2108">
        <f t="shared" si="71"/>
        <v>0.5</v>
      </c>
      <c r="AG98" s="2106">
        <v>3.1</v>
      </c>
      <c r="AH98" s="2110" t="s">
        <v>162</v>
      </c>
      <c r="AI98" s="2107" t="s">
        <v>1360</v>
      </c>
      <c r="AJ98" s="2108">
        <v>0.3</v>
      </c>
      <c r="AK98" s="2108">
        <v>0.3</v>
      </c>
      <c r="AL98" s="2108">
        <v>0.3</v>
      </c>
      <c r="AM98" s="2108">
        <v>0.3</v>
      </c>
      <c r="AN98" s="2108">
        <v>0.3</v>
      </c>
      <c r="AO98" s="2108"/>
      <c r="AP98" s="2108"/>
      <c r="AQ98" s="2117">
        <v>0.3</v>
      </c>
      <c r="AR98" s="2108">
        <v>0.3</v>
      </c>
      <c r="AS98" s="2113">
        <v>0.3</v>
      </c>
      <c r="AT98" s="2114">
        <v>0.5</v>
      </c>
      <c r="AU98" s="2113">
        <v>0.5</v>
      </c>
      <c r="AV98" s="2113">
        <v>0.5</v>
      </c>
      <c r="AX98" s="2106">
        <v>3.1</v>
      </c>
      <c r="AY98" s="2110" t="s">
        <v>162</v>
      </c>
      <c r="AZ98" s="2107" t="s">
        <v>1360</v>
      </c>
      <c r="BA98" s="2113">
        <v>0.3</v>
      </c>
      <c r="BB98" s="2113">
        <v>0.3</v>
      </c>
      <c r="BC98" s="2113">
        <v>0.3</v>
      </c>
      <c r="BD98" s="2113">
        <v>0.3</v>
      </c>
      <c r="BE98" s="2113">
        <v>0.3</v>
      </c>
      <c r="BF98" s="2113"/>
      <c r="BG98" s="2113"/>
      <c r="BH98" s="2120">
        <v>0.3</v>
      </c>
      <c r="BI98" s="2113">
        <v>0.3</v>
      </c>
      <c r="BJ98" s="2113">
        <v>0.3</v>
      </c>
      <c r="BK98" s="2114">
        <v>0.5</v>
      </c>
      <c r="BL98" s="2113">
        <v>0.5</v>
      </c>
      <c r="BM98" s="2113">
        <v>0.5</v>
      </c>
      <c r="BO98" s="2106">
        <v>3.1</v>
      </c>
      <c r="BP98" s="2110" t="s">
        <v>162</v>
      </c>
      <c r="BQ98" s="2107" t="s">
        <v>1360</v>
      </c>
      <c r="BR98" s="2113">
        <v>0.3</v>
      </c>
      <c r="BS98" s="2113">
        <v>0.3</v>
      </c>
      <c r="BT98" s="2113">
        <v>0.3</v>
      </c>
      <c r="BU98" s="2113">
        <v>0.3</v>
      </c>
      <c r="BV98" s="2113">
        <v>0.3</v>
      </c>
      <c r="BW98" s="2113"/>
      <c r="BX98" s="2113"/>
      <c r="BY98" s="2120">
        <v>0.3</v>
      </c>
      <c r="BZ98" s="2113">
        <v>0.3</v>
      </c>
      <c r="CA98" s="2113">
        <v>0.3</v>
      </c>
      <c r="CB98" s="2114">
        <v>0.5</v>
      </c>
      <c r="CC98" s="2113">
        <v>0.5</v>
      </c>
      <c r="CD98" s="2113">
        <v>0.5</v>
      </c>
      <c r="CE98" s="2554"/>
    </row>
    <row r="99" spans="1:84">
      <c r="B99" s="2080" t="str">
        <f t="shared" si="72"/>
        <v>3.1.1</v>
      </c>
      <c r="C99" s="2103" t="str">
        <f t="shared" si="51"/>
        <v>階高のゆとり</v>
      </c>
      <c r="D99" s="2093">
        <f>IF(I$98&gt;0,G99/I$98,0)</f>
        <v>0.6</v>
      </c>
      <c r="E99" s="2105">
        <f>IF(J$98&gt;0,H99/J$98,0)</f>
        <v>0</v>
      </c>
      <c r="G99" s="2105">
        <f t="shared" si="52"/>
        <v>0.6</v>
      </c>
      <c r="H99" s="2105">
        <f t="shared" si="53"/>
        <v>0</v>
      </c>
      <c r="I99" s="2105"/>
      <c r="J99" s="2105"/>
      <c r="K99" s="2105">
        <f>IF(スコア!M99=0,0,1)</f>
        <v>1</v>
      </c>
      <c r="L99" s="2105">
        <f>IF(スコア!O99=0,0,1)</f>
        <v>1</v>
      </c>
      <c r="M99" s="2105">
        <f t="shared" si="54"/>
        <v>0.6</v>
      </c>
      <c r="N99" s="2105">
        <f t="shared" si="76"/>
        <v>0</v>
      </c>
      <c r="P99" s="2106" t="str">
        <f t="shared" si="56"/>
        <v>3.1.1</v>
      </c>
      <c r="Q99" s="2106" t="str">
        <f t="shared" si="57"/>
        <v xml:space="preserve"> Q2 3.1</v>
      </c>
      <c r="R99" s="2107" t="str">
        <f t="shared" si="58"/>
        <v>階高のゆとり</v>
      </c>
      <c r="S99" s="2108">
        <f t="shared" si="59"/>
        <v>0.6</v>
      </c>
      <c r="T99" s="2108">
        <f t="shared" si="60"/>
        <v>0.6</v>
      </c>
      <c r="U99" s="2108">
        <f t="shared" si="61"/>
        <v>0.6</v>
      </c>
      <c r="V99" s="2108">
        <f t="shared" si="62"/>
        <v>0.6</v>
      </c>
      <c r="W99" s="2108">
        <f t="shared" si="63"/>
        <v>0.6</v>
      </c>
      <c r="X99" s="2108">
        <f t="shared" si="64"/>
        <v>0</v>
      </c>
      <c r="Y99" s="2108">
        <f t="shared" si="65"/>
        <v>0</v>
      </c>
      <c r="Z99" s="2117">
        <f t="shared" si="66"/>
        <v>0</v>
      </c>
      <c r="AA99" s="2108">
        <f t="shared" si="67"/>
        <v>0.6</v>
      </c>
      <c r="AB99" s="2108">
        <f t="shared" si="68"/>
        <v>0.6</v>
      </c>
      <c r="AC99" s="2109">
        <f t="shared" si="69"/>
        <v>0.6</v>
      </c>
      <c r="AD99" s="2108">
        <f t="shared" si="70"/>
        <v>0.6</v>
      </c>
      <c r="AE99" s="2108">
        <f t="shared" si="71"/>
        <v>0.6</v>
      </c>
      <c r="AG99" s="2106" t="s">
        <v>1516</v>
      </c>
      <c r="AH99" s="2110" t="s">
        <v>163</v>
      </c>
      <c r="AI99" s="2111" t="s">
        <v>164</v>
      </c>
      <c r="AJ99" s="2108">
        <v>0.6</v>
      </c>
      <c r="AK99" s="2108">
        <v>0.6</v>
      </c>
      <c r="AL99" s="2108">
        <v>0.6</v>
      </c>
      <c r="AM99" s="2108">
        <v>0.6</v>
      </c>
      <c r="AN99" s="2108">
        <v>0.6</v>
      </c>
      <c r="AO99" s="2108"/>
      <c r="AP99" s="2108"/>
      <c r="AQ99" s="2117">
        <v>0</v>
      </c>
      <c r="AR99" s="2108">
        <v>0.6</v>
      </c>
      <c r="AS99" s="2113">
        <v>0.6</v>
      </c>
      <c r="AT99" s="2114">
        <v>0.6</v>
      </c>
      <c r="AU99" s="2113">
        <v>0.6</v>
      </c>
      <c r="AV99" s="2113">
        <v>0.6</v>
      </c>
      <c r="AX99" s="2106" t="s">
        <v>1516</v>
      </c>
      <c r="AY99" s="2110" t="s">
        <v>163</v>
      </c>
      <c r="AZ99" s="2111" t="s">
        <v>164</v>
      </c>
      <c r="BA99" s="2113">
        <v>0.6</v>
      </c>
      <c r="BB99" s="2113">
        <v>0.6</v>
      </c>
      <c r="BC99" s="2113">
        <v>0.6</v>
      </c>
      <c r="BD99" s="2113">
        <v>0.6</v>
      </c>
      <c r="BE99" s="2113">
        <v>0.6</v>
      </c>
      <c r="BF99" s="2113"/>
      <c r="BG99" s="2113"/>
      <c r="BH99" s="2120">
        <v>0</v>
      </c>
      <c r="BI99" s="2113">
        <v>0.6</v>
      </c>
      <c r="BJ99" s="2113">
        <v>0.6</v>
      </c>
      <c r="BK99" s="2114">
        <v>0.6</v>
      </c>
      <c r="BL99" s="2113">
        <v>0.6</v>
      </c>
      <c r="BM99" s="2113">
        <v>0.6</v>
      </c>
      <c r="BO99" s="2106" t="s">
        <v>1516</v>
      </c>
      <c r="BP99" s="2110" t="s">
        <v>163</v>
      </c>
      <c r="BQ99" s="2111" t="s">
        <v>164</v>
      </c>
      <c r="BR99" s="2113">
        <v>0.6</v>
      </c>
      <c r="BS99" s="2113">
        <v>0.6</v>
      </c>
      <c r="BT99" s="2113">
        <v>0.6</v>
      </c>
      <c r="BU99" s="2113">
        <v>0.6</v>
      </c>
      <c r="BV99" s="2113">
        <v>0.6</v>
      </c>
      <c r="BW99" s="2113"/>
      <c r="BX99" s="2113"/>
      <c r="BY99" s="2120">
        <v>0</v>
      </c>
      <c r="BZ99" s="2113">
        <v>0.6</v>
      </c>
      <c r="CA99" s="2113">
        <v>0.6</v>
      </c>
      <c r="CB99" s="2114">
        <v>0.6</v>
      </c>
      <c r="CC99" s="2113">
        <v>0.6</v>
      </c>
      <c r="CD99" s="2113">
        <v>0.6</v>
      </c>
      <c r="CE99" s="2554"/>
    </row>
    <row r="100" spans="1:84">
      <c r="B100" s="2080" t="str">
        <f t="shared" si="72"/>
        <v>3.1.2</v>
      </c>
      <c r="C100" s="2103" t="str">
        <f t="shared" si="51"/>
        <v>空間の形状・自由さ</v>
      </c>
      <c r="D100" s="2093">
        <f>IF(I$98&gt;0,G100/I$98,0)</f>
        <v>0.4</v>
      </c>
      <c r="E100" s="2105">
        <f>IF(J$98&gt;0,H100/J$98,0)</f>
        <v>0</v>
      </c>
      <c r="G100" s="2105">
        <f t="shared" si="52"/>
        <v>0.4</v>
      </c>
      <c r="H100" s="2105">
        <f t="shared" si="53"/>
        <v>0</v>
      </c>
      <c r="I100" s="2105"/>
      <c r="J100" s="2105"/>
      <c r="K100" s="2105">
        <f>IF(スコア!M100=0,0,1)</f>
        <v>1</v>
      </c>
      <c r="L100" s="2105">
        <f>IF(スコア!O100=0,0,1)</f>
        <v>1</v>
      </c>
      <c r="M100" s="2105">
        <f t="shared" si="54"/>
        <v>0.4</v>
      </c>
      <c r="N100" s="2105">
        <f t="shared" si="76"/>
        <v>0</v>
      </c>
      <c r="P100" s="2106" t="str">
        <f t="shared" si="56"/>
        <v>3.1.2</v>
      </c>
      <c r="Q100" s="2106" t="str">
        <f t="shared" si="57"/>
        <v xml:space="preserve"> Q2 3.1</v>
      </c>
      <c r="R100" s="2107" t="str">
        <f t="shared" si="58"/>
        <v>空間の形状・自由さ</v>
      </c>
      <c r="S100" s="2108">
        <f t="shared" si="59"/>
        <v>0.4</v>
      </c>
      <c r="T100" s="2108">
        <f t="shared" si="60"/>
        <v>0.4</v>
      </c>
      <c r="U100" s="2108">
        <f t="shared" si="61"/>
        <v>0.4</v>
      </c>
      <c r="V100" s="2108">
        <f t="shared" si="62"/>
        <v>0.4</v>
      </c>
      <c r="W100" s="2108">
        <f t="shared" si="63"/>
        <v>0.4</v>
      </c>
      <c r="X100" s="2108">
        <f t="shared" si="64"/>
        <v>0</v>
      </c>
      <c r="Y100" s="2108">
        <f t="shared" si="65"/>
        <v>0</v>
      </c>
      <c r="Z100" s="2117">
        <f t="shared" si="66"/>
        <v>1</v>
      </c>
      <c r="AA100" s="2108">
        <f t="shared" si="67"/>
        <v>0.4</v>
      </c>
      <c r="AB100" s="2108">
        <f t="shared" si="68"/>
        <v>0.4</v>
      </c>
      <c r="AC100" s="2109">
        <f t="shared" si="69"/>
        <v>0.4</v>
      </c>
      <c r="AD100" s="2108">
        <f t="shared" si="70"/>
        <v>0.4</v>
      </c>
      <c r="AE100" s="2108">
        <f t="shared" si="71"/>
        <v>0.4</v>
      </c>
      <c r="AG100" s="2106" t="s">
        <v>1517</v>
      </c>
      <c r="AH100" s="2110" t="s">
        <v>163</v>
      </c>
      <c r="AI100" s="2111" t="s">
        <v>165</v>
      </c>
      <c r="AJ100" s="2108">
        <v>0.4</v>
      </c>
      <c r="AK100" s="2108">
        <v>0.4</v>
      </c>
      <c r="AL100" s="2108">
        <v>0.4</v>
      </c>
      <c r="AM100" s="2108">
        <v>0.4</v>
      </c>
      <c r="AN100" s="2108">
        <v>0.4</v>
      </c>
      <c r="AO100" s="2108"/>
      <c r="AP100" s="2108"/>
      <c r="AQ100" s="2117">
        <v>1</v>
      </c>
      <c r="AR100" s="2108">
        <v>0.4</v>
      </c>
      <c r="AS100" s="2113">
        <v>0.4</v>
      </c>
      <c r="AT100" s="2114">
        <v>0.4</v>
      </c>
      <c r="AU100" s="2113">
        <v>0.4</v>
      </c>
      <c r="AV100" s="2113">
        <v>0.4</v>
      </c>
      <c r="AX100" s="2106" t="s">
        <v>1517</v>
      </c>
      <c r="AY100" s="2110" t="s">
        <v>163</v>
      </c>
      <c r="AZ100" s="2111" t="s">
        <v>165</v>
      </c>
      <c r="BA100" s="2113">
        <v>0.4</v>
      </c>
      <c r="BB100" s="2113">
        <v>0.4</v>
      </c>
      <c r="BC100" s="2113">
        <v>0.4</v>
      </c>
      <c r="BD100" s="2113">
        <v>0.4</v>
      </c>
      <c r="BE100" s="2113">
        <v>0.4</v>
      </c>
      <c r="BF100" s="2113"/>
      <c r="BG100" s="2113"/>
      <c r="BH100" s="2120">
        <v>1</v>
      </c>
      <c r="BI100" s="2113">
        <v>0.4</v>
      </c>
      <c r="BJ100" s="2113">
        <v>0.4</v>
      </c>
      <c r="BK100" s="2114">
        <v>0.4</v>
      </c>
      <c r="BL100" s="2113">
        <v>0.4</v>
      </c>
      <c r="BM100" s="2113">
        <v>0.4</v>
      </c>
      <c r="BO100" s="2106" t="s">
        <v>1517</v>
      </c>
      <c r="BP100" s="2110" t="s">
        <v>163</v>
      </c>
      <c r="BQ100" s="2111" t="s">
        <v>165</v>
      </c>
      <c r="BR100" s="2113">
        <v>0.4</v>
      </c>
      <c r="BS100" s="2113">
        <v>0.4</v>
      </c>
      <c r="BT100" s="2113">
        <v>0.4</v>
      </c>
      <c r="BU100" s="2113">
        <v>0.4</v>
      </c>
      <c r="BV100" s="2113">
        <v>0.4</v>
      </c>
      <c r="BW100" s="2113"/>
      <c r="BX100" s="2113"/>
      <c r="BY100" s="2120">
        <v>1</v>
      </c>
      <c r="BZ100" s="2113">
        <v>0.4</v>
      </c>
      <c r="CA100" s="2113">
        <v>0.4</v>
      </c>
      <c r="CB100" s="2114">
        <v>0.4</v>
      </c>
      <c r="CC100" s="2113">
        <v>0.4</v>
      </c>
      <c r="CD100" s="2113">
        <v>0.4</v>
      </c>
      <c r="CE100" s="2554"/>
    </row>
    <row r="101" spans="1:84">
      <c r="B101" s="2080">
        <f t="shared" si="72"/>
        <v>3.2</v>
      </c>
      <c r="C101" s="2107" t="str">
        <f t="shared" si="51"/>
        <v>荷重のゆとり</v>
      </c>
      <c r="D101" s="2104">
        <f>IF(I$97=0,0,G101/I$97)</f>
        <v>0.3</v>
      </c>
      <c r="E101" s="2105">
        <f>IF(J$97=0,0,H101/J$97)</f>
        <v>0</v>
      </c>
      <c r="G101" s="2105">
        <f t="shared" si="52"/>
        <v>0.3</v>
      </c>
      <c r="H101" s="2105">
        <f t="shared" si="53"/>
        <v>0</v>
      </c>
      <c r="I101" s="2105"/>
      <c r="J101" s="2105"/>
      <c r="K101" s="2105">
        <f>IF(スコア!M101=0,0,1)</f>
        <v>1</v>
      </c>
      <c r="L101" s="2105">
        <f>IF(スコア!O101=0,0,1)</f>
        <v>1</v>
      </c>
      <c r="M101" s="2105">
        <f t="shared" si="54"/>
        <v>0.3</v>
      </c>
      <c r="N101" s="2105">
        <f t="shared" si="76"/>
        <v>0</v>
      </c>
      <c r="P101" s="2106">
        <f t="shared" si="56"/>
        <v>3.2</v>
      </c>
      <c r="Q101" s="2106" t="str">
        <f t="shared" si="57"/>
        <v xml:space="preserve"> Q2 3</v>
      </c>
      <c r="R101" s="2107" t="str">
        <f t="shared" si="58"/>
        <v>荷重のゆとり</v>
      </c>
      <c r="S101" s="2108">
        <f t="shared" si="59"/>
        <v>0.3</v>
      </c>
      <c r="T101" s="2108">
        <f t="shared" si="60"/>
        <v>0.3</v>
      </c>
      <c r="U101" s="2108">
        <f t="shared" si="61"/>
        <v>0.3</v>
      </c>
      <c r="V101" s="2108">
        <f t="shared" si="62"/>
        <v>0.3</v>
      </c>
      <c r="W101" s="2108">
        <f t="shared" si="63"/>
        <v>0.3</v>
      </c>
      <c r="X101" s="2108">
        <f t="shared" si="64"/>
        <v>0</v>
      </c>
      <c r="Y101" s="2108">
        <f t="shared" si="65"/>
        <v>0</v>
      </c>
      <c r="Z101" s="2117">
        <f t="shared" si="66"/>
        <v>0.3</v>
      </c>
      <c r="AA101" s="2108">
        <f t="shared" si="67"/>
        <v>0.3</v>
      </c>
      <c r="AB101" s="2108">
        <f t="shared" si="68"/>
        <v>0.3</v>
      </c>
      <c r="AC101" s="2109">
        <f t="shared" si="69"/>
        <v>0.5</v>
      </c>
      <c r="AD101" s="2108">
        <f t="shared" si="70"/>
        <v>0.5</v>
      </c>
      <c r="AE101" s="2108">
        <f t="shared" si="71"/>
        <v>0.5</v>
      </c>
      <c r="AG101" s="2106">
        <v>3.2</v>
      </c>
      <c r="AH101" s="2110" t="s">
        <v>162</v>
      </c>
      <c r="AI101" s="2107" t="s">
        <v>1363</v>
      </c>
      <c r="AJ101" s="2108">
        <v>0.3</v>
      </c>
      <c r="AK101" s="2108">
        <v>0.3</v>
      </c>
      <c r="AL101" s="2108">
        <v>0.3</v>
      </c>
      <c r="AM101" s="2108">
        <v>0.3</v>
      </c>
      <c r="AN101" s="2108">
        <v>0.3</v>
      </c>
      <c r="AO101" s="2108"/>
      <c r="AP101" s="2108"/>
      <c r="AQ101" s="2117">
        <v>0.3</v>
      </c>
      <c r="AR101" s="2108">
        <v>0.3</v>
      </c>
      <c r="AS101" s="2113">
        <v>0.3</v>
      </c>
      <c r="AT101" s="2114">
        <v>0.5</v>
      </c>
      <c r="AU101" s="2113">
        <v>0.5</v>
      </c>
      <c r="AV101" s="2113">
        <v>0.5</v>
      </c>
      <c r="AX101" s="2106">
        <v>3.2</v>
      </c>
      <c r="AY101" s="2110" t="s">
        <v>162</v>
      </c>
      <c r="AZ101" s="2107" t="s">
        <v>1363</v>
      </c>
      <c r="BA101" s="2113">
        <v>0.3</v>
      </c>
      <c r="BB101" s="2113">
        <v>0.3</v>
      </c>
      <c r="BC101" s="2113">
        <v>0.3</v>
      </c>
      <c r="BD101" s="2113">
        <v>0.3</v>
      </c>
      <c r="BE101" s="2113">
        <v>0.3</v>
      </c>
      <c r="BF101" s="2113"/>
      <c r="BG101" s="2113"/>
      <c r="BH101" s="2120">
        <v>0.3</v>
      </c>
      <c r="BI101" s="2113">
        <v>0.3</v>
      </c>
      <c r="BJ101" s="2113">
        <v>0.3</v>
      </c>
      <c r="BK101" s="2114">
        <v>0.5</v>
      </c>
      <c r="BL101" s="2113">
        <v>0.5</v>
      </c>
      <c r="BM101" s="2113">
        <v>0.5</v>
      </c>
      <c r="BO101" s="2106">
        <v>3.2</v>
      </c>
      <c r="BP101" s="2110" t="s">
        <v>162</v>
      </c>
      <c r="BQ101" s="2107" t="s">
        <v>1363</v>
      </c>
      <c r="BR101" s="2113">
        <v>0.3</v>
      </c>
      <c r="BS101" s="2113">
        <v>0.3</v>
      </c>
      <c r="BT101" s="2113">
        <v>0.3</v>
      </c>
      <c r="BU101" s="2113">
        <v>0.3</v>
      </c>
      <c r="BV101" s="2113">
        <v>0.3</v>
      </c>
      <c r="BW101" s="2113"/>
      <c r="BX101" s="2113"/>
      <c r="BY101" s="2120">
        <v>0.3</v>
      </c>
      <c r="BZ101" s="2113">
        <v>0.3</v>
      </c>
      <c r="CA101" s="2113">
        <v>0.3</v>
      </c>
      <c r="CB101" s="2114">
        <v>0.5</v>
      </c>
      <c r="CC101" s="2113">
        <v>0.5</v>
      </c>
      <c r="CD101" s="2113">
        <v>0.5</v>
      </c>
      <c r="CE101" s="2554"/>
    </row>
    <row r="102" spans="1:84">
      <c r="B102" s="2080">
        <f t="shared" si="72"/>
        <v>3.3</v>
      </c>
      <c r="C102" s="2107" t="str">
        <f t="shared" si="51"/>
        <v>設備の更新性</v>
      </c>
      <c r="D102" s="2104">
        <f>IF(I$97=0,0,G102/I$97)</f>
        <v>0.4</v>
      </c>
      <c r="E102" s="2105">
        <f>IF(J$97=0,0,H102/J$97)</f>
        <v>0</v>
      </c>
      <c r="G102" s="2105">
        <f t="shared" si="52"/>
        <v>0.4</v>
      </c>
      <c r="H102" s="2105">
        <f t="shared" si="53"/>
        <v>0</v>
      </c>
      <c r="I102" s="2105">
        <f>SUM(G103:G108)</f>
        <v>1</v>
      </c>
      <c r="J102" s="2105">
        <f>SUM(H103:H108)</f>
        <v>0</v>
      </c>
      <c r="K102" s="2105">
        <f>IF(スコア!M102=0,0,1)</f>
        <v>1</v>
      </c>
      <c r="L102" s="2105">
        <f>IF(スコア!O102=0,0,1)</f>
        <v>0</v>
      </c>
      <c r="M102" s="2105">
        <f t="shared" si="54"/>
        <v>0.4</v>
      </c>
      <c r="N102" s="2105">
        <f t="shared" si="76"/>
        <v>0</v>
      </c>
      <c r="P102" s="2106">
        <f t="shared" si="56"/>
        <v>3.3</v>
      </c>
      <c r="Q102" s="2106" t="str">
        <f t="shared" si="57"/>
        <v xml:space="preserve"> Q2 3</v>
      </c>
      <c r="R102" s="2107" t="str">
        <f t="shared" si="58"/>
        <v>設備の更新性</v>
      </c>
      <c r="S102" s="2108">
        <f t="shared" si="59"/>
        <v>0.4</v>
      </c>
      <c r="T102" s="2108">
        <f t="shared" si="60"/>
        <v>0.4</v>
      </c>
      <c r="U102" s="2108">
        <f t="shared" si="61"/>
        <v>0.4</v>
      </c>
      <c r="V102" s="2108">
        <f t="shared" si="62"/>
        <v>0.4</v>
      </c>
      <c r="W102" s="2108">
        <f t="shared" si="63"/>
        <v>0.4</v>
      </c>
      <c r="X102" s="2108">
        <f t="shared" si="64"/>
        <v>1</v>
      </c>
      <c r="Y102" s="2108">
        <f t="shared" si="65"/>
        <v>1</v>
      </c>
      <c r="Z102" s="2117">
        <f t="shared" si="66"/>
        <v>0.4</v>
      </c>
      <c r="AA102" s="2108">
        <f t="shared" si="67"/>
        <v>0.4</v>
      </c>
      <c r="AB102" s="2108">
        <f t="shared" si="68"/>
        <v>0.4</v>
      </c>
      <c r="AC102" s="2109">
        <f t="shared" si="69"/>
        <v>0</v>
      </c>
      <c r="AD102" s="2108">
        <f t="shared" si="70"/>
        <v>0</v>
      </c>
      <c r="AE102" s="2108">
        <f t="shared" si="71"/>
        <v>0</v>
      </c>
      <c r="AG102" s="2106">
        <v>3.3</v>
      </c>
      <c r="AH102" s="2110" t="s">
        <v>162</v>
      </c>
      <c r="AI102" s="2107" t="s">
        <v>1364</v>
      </c>
      <c r="AJ102" s="2108">
        <v>0.4</v>
      </c>
      <c r="AK102" s="2108">
        <v>0.4</v>
      </c>
      <c r="AL102" s="2108">
        <v>0.4</v>
      </c>
      <c r="AM102" s="2108">
        <v>0.4</v>
      </c>
      <c r="AN102" s="2108">
        <v>0.4</v>
      </c>
      <c r="AO102" s="2108">
        <v>1</v>
      </c>
      <c r="AP102" s="2108">
        <v>1</v>
      </c>
      <c r="AQ102" s="2117">
        <v>0.4</v>
      </c>
      <c r="AR102" s="2108">
        <v>0.4</v>
      </c>
      <c r="AS102" s="2113">
        <v>0.4</v>
      </c>
      <c r="AT102" s="2114"/>
      <c r="AU102" s="2113"/>
      <c r="AV102" s="2113"/>
      <c r="AX102" s="2106">
        <v>3.3</v>
      </c>
      <c r="AY102" s="2110" t="s">
        <v>162</v>
      </c>
      <c r="AZ102" s="2107" t="s">
        <v>1364</v>
      </c>
      <c r="BA102" s="2113">
        <v>0.4</v>
      </c>
      <c r="BB102" s="2113">
        <v>0.4</v>
      </c>
      <c r="BC102" s="2113">
        <v>0.4</v>
      </c>
      <c r="BD102" s="2113">
        <v>0.4</v>
      </c>
      <c r="BE102" s="2113">
        <v>0.4</v>
      </c>
      <c r="BF102" s="2113">
        <v>1</v>
      </c>
      <c r="BG102" s="2113">
        <v>1</v>
      </c>
      <c r="BH102" s="2120">
        <v>0.4</v>
      </c>
      <c r="BI102" s="2113">
        <v>0.4</v>
      </c>
      <c r="BJ102" s="2113">
        <v>0.4</v>
      </c>
      <c r="BK102" s="2114"/>
      <c r="BL102" s="2113"/>
      <c r="BM102" s="2113"/>
      <c r="BO102" s="2106">
        <v>3.3</v>
      </c>
      <c r="BP102" s="2110" t="s">
        <v>162</v>
      </c>
      <c r="BQ102" s="2107" t="s">
        <v>1364</v>
      </c>
      <c r="BR102" s="2113">
        <v>0.4</v>
      </c>
      <c r="BS102" s="2113">
        <v>0.4</v>
      </c>
      <c r="BT102" s="2113">
        <v>0.4</v>
      </c>
      <c r="BU102" s="2113">
        <v>0.4</v>
      </c>
      <c r="BV102" s="2113">
        <v>0.4</v>
      </c>
      <c r="BW102" s="2113">
        <v>1</v>
      </c>
      <c r="BX102" s="2113">
        <v>1</v>
      </c>
      <c r="BY102" s="2120">
        <v>0.4</v>
      </c>
      <c r="BZ102" s="2113">
        <v>0.4</v>
      </c>
      <c r="CA102" s="2113">
        <v>0.4</v>
      </c>
      <c r="CB102" s="2114"/>
      <c r="CC102" s="2113"/>
      <c r="CD102" s="2113"/>
      <c r="CE102" s="2554"/>
    </row>
    <row r="103" spans="1:84">
      <c r="B103" s="2080" t="str">
        <f t="shared" si="72"/>
        <v>3.3.1</v>
      </c>
      <c r="C103" s="2103" t="str">
        <f t="shared" si="51"/>
        <v>空調配管の更新性</v>
      </c>
      <c r="D103" s="2093">
        <f t="shared" ref="D103:E108" si="77">IF(I$102&gt;0,G103/I$102,0)</f>
        <v>0.2</v>
      </c>
      <c r="E103" s="2105">
        <f t="shared" si="77"/>
        <v>0</v>
      </c>
      <c r="G103" s="2105">
        <f t="shared" si="52"/>
        <v>0.2</v>
      </c>
      <c r="H103" s="2105">
        <f t="shared" si="53"/>
        <v>0</v>
      </c>
      <c r="I103" s="2105"/>
      <c r="J103" s="2105"/>
      <c r="K103" s="2105">
        <f>IF(スコア!M103=0,0,1)</f>
        <v>1</v>
      </c>
      <c r="L103" s="2105">
        <f>IF(スコア!O103=0,0,1)</f>
        <v>0</v>
      </c>
      <c r="M103" s="2105">
        <f t="shared" si="54"/>
        <v>0.2</v>
      </c>
      <c r="N103" s="2105">
        <f t="shared" si="76"/>
        <v>0</v>
      </c>
      <c r="P103" s="2106" t="str">
        <f t="shared" si="56"/>
        <v>3.3.1</v>
      </c>
      <c r="Q103" s="2106" t="str">
        <f t="shared" si="57"/>
        <v xml:space="preserve"> Q2 3.3</v>
      </c>
      <c r="R103" s="2107" t="str">
        <f t="shared" si="58"/>
        <v>空調配管の更新性</v>
      </c>
      <c r="S103" s="2108">
        <f t="shared" si="59"/>
        <v>0.2</v>
      </c>
      <c r="T103" s="2108">
        <f t="shared" si="60"/>
        <v>0.2</v>
      </c>
      <c r="U103" s="2108">
        <f t="shared" si="61"/>
        <v>0.2</v>
      </c>
      <c r="V103" s="2108">
        <f t="shared" si="62"/>
        <v>0.2</v>
      </c>
      <c r="W103" s="2108">
        <f t="shared" si="63"/>
        <v>0.2</v>
      </c>
      <c r="X103" s="2108">
        <f t="shared" si="64"/>
        <v>0.2</v>
      </c>
      <c r="Y103" s="2108">
        <f t="shared" si="65"/>
        <v>0.2</v>
      </c>
      <c r="Z103" s="2117">
        <f t="shared" si="66"/>
        <v>0.2</v>
      </c>
      <c r="AA103" s="2108">
        <f t="shared" si="67"/>
        <v>0.2</v>
      </c>
      <c r="AB103" s="2108">
        <f t="shared" si="68"/>
        <v>0.2</v>
      </c>
      <c r="AC103" s="2109">
        <f t="shared" si="69"/>
        <v>0</v>
      </c>
      <c r="AD103" s="2108">
        <f t="shared" si="70"/>
        <v>0</v>
      </c>
      <c r="AE103" s="2108">
        <f t="shared" si="71"/>
        <v>0</v>
      </c>
      <c r="AG103" s="2106" t="s">
        <v>1518</v>
      </c>
      <c r="AH103" s="2110" t="s">
        <v>166</v>
      </c>
      <c r="AI103" s="2111" t="s">
        <v>167</v>
      </c>
      <c r="AJ103" s="2108">
        <v>0.2</v>
      </c>
      <c r="AK103" s="2108">
        <v>0.2</v>
      </c>
      <c r="AL103" s="2108">
        <v>0.2</v>
      </c>
      <c r="AM103" s="2108">
        <v>0.2</v>
      </c>
      <c r="AN103" s="2108">
        <v>0.2</v>
      </c>
      <c r="AO103" s="2108">
        <v>0.2</v>
      </c>
      <c r="AP103" s="2108">
        <v>0.2</v>
      </c>
      <c r="AQ103" s="2117">
        <v>0.2</v>
      </c>
      <c r="AR103" s="2108">
        <v>0.2</v>
      </c>
      <c r="AS103" s="2113">
        <v>0.2</v>
      </c>
      <c r="AT103" s="2114"/>
      <c r="AU103" s="2113"/>
      <c r="AV103" s="2113"/>
      <c r="AX103" s="2106" t="s">
        <v>1518</v>
      </c>
      <c r="AY103" s="2110" t="s">
        <v>166</v>
      </c>
      <c r="AZ103" s="2111" t="s">
        <v>167</v>
      </c>
      <c r="BA103" s="2113">
        <v>0.2</v>
      </c>
      <c r="BB103" s="2113">
        <v>0.2</v>
      </c>
      <c r="BC103" s="2113">
        <v>0.2</v>
      </c>
      <c r="BD103" s="2113">
        <v>0.2</v>
      </c>
      <c r="BE103" s="2113">
        <v>0.2</v>
      </c>
      <c r="BF103" s="2113">
        <v>0.2</v>
      </c>
      <c r="BG103" s="2113">
        <v>0.2</v>
      </c>
      <c r="BH103" s="2120">
        <v>0.2</v>
      </c>
      <c r="BI103" s="2113">
        <v>0.2</v>
      </c>
      <c r="BJ103" s="2113">
        <v>0.2</v>
      </c>
      <c r="BK103" s="2114"/>
      <c r="BL103" s="2113"/>
      <c r="BM103" s="2113"/>
      <c r="BO103" s="2106" t="s">
        <v>1518</v>
      </c>
      <c r="BP103" s="2110" t="s">
        <v>166</v>
      </c>
      <c r="BQ103" s="2111" t="s">
        <v>167</v>
      </c>
      <c r="BR103" s="2113">
        <v>0.2</v>
      </c>
      <c r="BS103" s="2113">
        <v>0.2</v>
      </c>
      <c r="BT103" s="2113">
        <v>0.2</v>
      </c>
      <c r="BU103" s="2113">
        <v>0.2</v>
      </c>
      <c r="BV103" s="2113">
        <v>0.2</v>
      </c>
      <c r="BW103" s="2113">
        <v>0.2</v>
      </c>
      <c r="BX103" s="2113">
        <v>0.2</v>
      </c>
      <c r="BY103" s="2120">
        <v>0.2</v>
      </c>
      <c r="BZ103" s="2113">
        <v>0.2</v>
      </c>
      <c r="CA103" s="2113">
        <v>0.2</v>
      </c>
      <c r="CB103" s="2114"/>
      <c r="CC103" s="2113"/>
      <c r="CD103" s="2113"/>
      <c r="CE103" s="2554"/>
    </row>
    <row r="104" spans="1:84">
      <c r="B104" s="2080" t="str">
        <f t="shared" si="72"/>
        <v>3.3.2</v>
      </c>
      <c r="C104" s="2103" t="str">
        <f t="shared" si="51"/>
        <v>給排水管の更新性</v>
      </c>
      <c r="D104" s="2093">
        <f t="shared" si="77"/>
        <v>0.2</v>
      </c>
      <c r="E104" s="2105">
        <f t="shared" si="77"/>
        <v>0</v>
      </c>
      <c r="G104" s="2105">
        <f t="shared" si="52"/>
        <v>0.2</v>
      </c>
      <c r="H104" s="2105">
        <f t="shared" si="53"/>
        <v>0</v>
      </c>
      <c r="I104" s="2105"/>
      <c r="J104" s="2105"/>
      <c r="K104" s="2105">
        <f>IF(スコア!M104=0,0,1)</f>
        <v>1</v>
      </c>
      <c r="L104" s="2105">
        <f>IF(スコア!O104=0,0,1)</f>
        <v>0</v>
      </c>
      <c r="M104" s="2105">
        <f t="shared" si="54"/>
        <v>0.2</v>
      </c>
      <c r="N104" s="2105">
        <f t="shared" si="76"/>
        <v>0</v>
      </c>
      <c r="P104" s="2106" t="str">
        <f t="shared" si="56"/>
        <v>3.3.2</v>
      </c>
      <c r="Q104" s="2106" t="str">
        <f t="shared" si="57"/>
        <v xml:space="preserve"> Q2 3.3</v>
      </c>
      <c r="R104" s="2107" t="str">
        <f t="shared" si="58"/>
        <v>給排水管の更新性</v>
      </c>
      <c r="S104" s="2108">
        <f t="shared" si="59"/>
        <v>0.2</v>
      </c>
      <c r="T104" s="2108">
        <f t="shared" si="60"/>
        <v>0.2</v>
      </c>
      <c r="U104" s="2108">
        <f t="shared" si="61"/>
        <v>0.2</v>
      </c>
      <c r="V104" s="2108">
        <f t="shared" si="62"/>
        <v>0.2</v>
      </c>
      <c r="W104" s="2108">
        <f t="shared" si="63"/>
        <v>0.2</v>
      </c>
      <c r="X104" s="2108">
        <f t="shared" si="64"/>
        <v>0.2</v>
      </c>
      <c r="Y104" s="2108">
        <f t="shared" si="65"/>
        <v>0.2</v>
      </c>
      <c r="Z104" s="2117">
        <f t="shared" si="66"/>
        <v>0.2</v>
      </c>
      <c r="AA104" s="2108">
        <f t="shared" si="67"/>
        <v>0.2</v>
      </c>
      <c r="AB104" s="2108">
        <f t="shared" si="68"/>
        <v>0.2</v>
      </c>
      <c r="AC104" s="2109">
        <f t="shared" si="69"/>
        <v>0</v>
      </c>
      <c r="AD104" s="2108">
        <f t="shared" si="70"/>
        <v>0</v>
      </c>
      <c r="AE104" s="2108">
        <f t="shared" si="71"/>
        <v>0</v>
      </c>
      <c r="AG104" s="2106" t="s">
        <v>1519</v>
      </c>
      <c r="AH104" s="2110" t="s">
        <v>166</v>
      </c>
      <c r="AI104" s="2111" t="s">
        <v>168</v>
      </c>
      <c r="AJ104" s="2108">
        <v>0.2</v>
      </c>
      <c r="AK104" s="2108">
        <v>0.2</v>
      </c>
      <c r="AL104" s="2108">
        <v>0.2</v>
      </c>
      <c r="AM104" s="2108">
        <v>0.2</v>
      </c>
      <c r="AN104" s="2108">
        <v>0.2</v>
      </c>
      <c r="AO104" s="2108">
        <v>0.2</v>
      </c>
      <c r="AP104" s="2108">
        <v>0.2</v>
      </c>
      <c r="AQ104" s="2117">
        <v>0.2</v>
      </c>
      <c r="AR104" s="2108">
        <v>0.2</v>
      </c>
      <c r="AS104" s="2113">
        <v>0.2</v>
      </c>
      <c r="AT104" s="2114"/>
      <c r="AU104" s="2113"/>
      <c r="AV104" s="2113"/>
      <c r="AX104" s="2106" t="s">
        <v>1519</v>
      </c>
      <c r="AY104" s="2110" t="s">
        <v>166</v>
      </c>
      <c r="AZ104" s="2111" t="s">
        <v>168</v>
      </c>
      <c r="BA104" s="2113">
        <v>0.2</v>
      </c>
      <c r="BB104" s="2113">
        <v>0.2</v>
      </c>
      <c r="BC104" s="2113">
        <v>0.2</v>
      </c>
      <c r="BD104" s="2113">
        <v>0.2</v>
      </c>
      <c r="BE104" s="2113">
        <v>0.2</v>
      </c>
      <c r="BF104" s="2113">
        <v>0.2</v>
      </c>
      <c r="BG104" s="2113">
        <v>0.2</v>
      </c>
      <c r="BH104" s="2120">
        <v>0.2</v>
      </c>
      <c r="BI104" s="2113">
        <v>0.2</v>
      </c>
      <c r="BJ104" s="2113">
        <v>0.2</v>
      </c>
      <c r="BK104" s="2114"/>
      <c r="BL104" s="2113"/>
      <c r="BM104" s="2113"/>
      <c r="BO104" s="2106" t="s">
        <v>1519</v>
      </c>
      <c r="BP104" s="2110" t="s">
        <v>166</v>
      </c>
      <c r="BQ104" s="2111" t="s">
        <v>168</v>
      </c>
      <c r="BR104" s="2113">
        <v>0.2</v>
      </c>
      <c r="BS104" s="2113">
        <v>0.2</v>
      </c>
      <c r="BT104" s="2113">
        <v>0.2</v>
      </c>
      <c r="BU104" s="2113">
        <v>0.2</v>
      </c>
      <c r="BV104" s="2113">
        <v>0.2</v>
      </c>
      <c r="BW104" s="2113">
        <v>0.2</v>
      </c>
      <c r="BX104" s="2113">
        <v>0.2</v>
      </c>
      <c r="BY104" s="2120">
        <v>0.2</v>
      </c>
      <c r="BZ104" s="2113">
        <v>0.2</v>
      </c>
      <c r="CA104" s="2113">
        <v>0.2</v>
      </c>
      <c r="CB104" s="2114"/>
      <c r="CC104" s="2113"/>
      <c r="CD104" s="2113"/>
      <c r="CE104" s="2554"/>
    </row>
    <row r="105" spans="1:84">
      <c r="B105" s="2080" t="str">
        <f t="shared" si="72"/>
        <v>3.3.3</v>
      </c>
      <c r="C105" s="2103" t="str">
        <f t="shared" ref="C105:C140" si="78">R105</f>
        <v>電気配線の更新性</v>
      </c>
      <c r="D105" s="2093">
        <f t="shared" si="77"/>
        <v>0.1</v>
      </c>
      <c r="E105" s="2105">
        <f t="shared" si="77"/>
        <v>0</v>
      </c>
      <c r="G105" s="2105">
        <f t="shared" ref="G105:G140" si="79">K105*M105</f>
        <v>0.1</v>
      </c>
      <c r="H105" s="2105">
        <f t="shared" ref="H105:H140" si="80">L105*N105</f>
        <v>0</v>
      </c>
      <c r="I105" s="2105"/>
      <c r="J105" s="2105"/>
      <c r="K105" s="2105">
        <f>IF(スコア!M105=0,0,1)</f>
        <v>1</v>
      </c>
      <c r="L105" s="2105">
        <f>IF(スコア!O105=0,0,1)</f>
        <v>0</v>
      </c>
      <c r="M105" s="2105">
        <f t="shared" ref="M105:M140" si="81">SUMPRODUCT($S$7:$AB$7,S105:AB105)</f>
        <v>0.1</v>
      </c>
      <c r="N105" s="2105">
        <f t="shared" si="76"/>
        <v>0</v>
      </c>
      <c r="P105" s="2106" t="str">
        <f t="shared" si="56"/>
        <v>3.3.3</v>
      </c>
      <c r="Q105" s="2106" t="str">
        <f t="shared" si="57"/>
        <v xml:space="preserve"> Q2 3.3</v>
      </c>
      <c r="R105" s="2107" t="str">
        <f t="shared" ref="R105:R119" si="82">IF($P$3=1,AZ105,IF($P$3=2,BQ105,AI105))</f>
        <v>電気配線の更新性</v>
      </c>
      <c r="S105" s="2108">
        <f t="shared" ref="S105:S121" si="83">IF($P$3=1,BA105,IF($P$3=2,BR105,AJ105))</f>
        <v>0.1</v>
      </c>
      <c r="T105" s="2108">
        <f t="shared" ref="T105:T121" si="84">IF($P$3=1,BB105,IF($P$3=2,BS105,AK105))</f>
        <v>0.1</v>
      </c>
      <c r="U105" s="2108">
        <f t="shared" ref="U105:U121" si="85">IF($P$3=1,BC105,IF($P$3=2,BT105,AL105))</f>
        <v>0.1</v>
      </c>
      <c r="V105" s="2108">
        <f t="shared" ref="V105:V121" si="86">IF($P$3=1,BD105,IF($P$3=2,BU105,AM105))</f>
        <v>0.1</v>
      </c>
      <c r="W105" s="2108">
        <f t="shared" ref="W105:W121" si="87">IF($P$3=1,BE105,IF($P$3=2,BV105,AN105))</f>
        <v>0.1</v>
      </c>
      <c r="X105" s="2108">
        <f t="shared" ref="X105:X121" si="88">IF($P$3=1,BF105,IF($P$3=2,BW105,AO105))</f>
        <v>0.1</v>
      </c>
      <c r="Y105" s="2108">
        <f t="shared" ref="Y105:Y121" si="89">IF($P$3=1,BG105,IF($P$3=2,BX105,AP105))</f>
        <v>0.1</v>
      </c>
      <c r="Z105" s="2117">
        <f t="shared" ref="Z105:Z121" si="90">IF($P$3=1,BH105,IF($P$3=2,BY105,AQ105))</f>
        <v>0.1</v>
      </c>
      <c r="AA105" s="2108">
        <f t="shared" ref="AA105:AA121" si="91">IF($P$3=1,BI105,IF($P$3=2,BZ105,AR105))</f>
        <v>0.1</v>
      </c>
      <c r="AB105" s="2108">
        <f t="shared" ref="AB105:AB121" si="92">IF($P$3=1,BJ105,IF($P$3=2,CA105,AS105))</f>
        <v>0.1</v>
      </c>
      <c r="AC105" s="2109">
        <f t="shared" ref="AC105:AC119" si="93">IF($P$3=1,BK105,IF($P$3=2,CB105,AT105))</f>
        <v>0</v>
      </c>
      <c r="AD105" s="2108">
        <f t="shared" ref="AD105:AD119" si="94">IF($P$3=1,BL105,IF($P$3=2,CC105,AU105))</f>
        <v>0</v>
      </c>
      <c r="AE105" s="2108">
        <f t="shared" ref="AE105:AE119" si="95">IF($P$3=1,BM105,IF($P$3=2,CD105,AV105))</f>
        <v>0</v>
      </c>
      <c r="AG105" s="2106" t="s">
        <v>1520</v>
      </c>
      <c r="AH105" s="2110" t="s">
        <v>166</v>
      </c>
      <c r="AI105" s="2111" t="s">
        <v>169</v>
      </c>
      <c r="AJ105" s="2108">
        <v>0.1</v>
      </c>
      <c r="AK105" s="2108">
        <v>0.1</v>
      </c>
      <c r="AL105" s="2108">
        <v>0.1</v>
      </c>
      <c r="AM105" s="2108">
        <v>0.1</v>
      </c>
      <c r="AN105" s="2108">
        <v>0.1</v>
      </c>
      <c r="AO105" s="2108">
        <v>0.1</v>
      </c>
      <c r="AP105" s="2108">
        <v>0.1</v>
      </c>
      <c r="AQ105" s="2117">
        <v>0.1</v>
      </c>
      <c r="AR105" s="2108">
        <v>0.1</v>
      </c>
      <c r="AS105" s="2113">
        <v>0.1</v>
      </c>
      <c r="AT105" s="2114"/>
      <c r="AU105" s="2113"/>
      <c r="AV105" s="2113"/>
      <c r="AX105" s="2106" t="s">
        <v>1520</v>
      </c>
      <c r="AY105" s="2110" t="s">
        <v>166</v>
      </c>
      <c r="AZ105" s="2111" t="s">
        <v>169</v>
      </c>
      <c r="BA105" s="2113">
        <v>0.1</v>
      </c>
      <c r="BB105" s="2113">
        <v>0.1</v>
      </c>
      <c r="BC105" s="2113">
        <v>0.1</v>
      </c>
      <c r="BD105" s="2113">
        <v>0.1</v>
      </c>
      <c r="BE105" s="2113">
        <v>0.1</v>
      </c>
      <c r="BF105" s="2113">
        <v>0.1</v>
      </c>
      <c r="BG105" s="2113">
        <v>0.1</v>
      </c>
      <c r="BH105" s="2120">
        <v>0.1</v>
      </c>
      <c r="BI105" s="2113">
        <v>0.1</v>
      </c>
      <c r="BJ105" s="2113">
        <v>0.1</v>
      </c>
      <c r="BK105" s="2114"/>
      <c r="BL105" s="2113"/>
      <c r="BM105" s="2113"/>
      <c r="BO105" s="2106" t="s">
        <v>1520</v>
      </c>
      <c r="BP105" s="2110" t="s">
        <v>166</v>
      </c>
      <c r="BQ105" s="2111" t="s">
        <v>169</v>
      </c>
      <c r="BR105" s="2113">
        <v>0.1</v>
      </c>
      <c r="BS105" s="2113">
        <v>0.1</v>
      </c>
      <c r="BT105" s="2113">
        <v>0.1</v>
      </c>
      <c r="BU105" s="2113">
        <v>0.1</v>
      </c>
      <c r="BV105" s="2113">
        <v>0.1</v>
      </c>
      <c r="BW105" s="2113">
        <v>0.1</v>
      </c>
      <c r="BX105" s="2113">
        <v>0.1</v>
      </c>
      <c r="BY105" s="2120">
        <v>0.1</v>
      </c>
      <c r="BZ105" s="2113">
        <v>0.1</v>
      </c>
      <c r="CA105" s="2113">
        <v>0.1</v>
      </c>
      <c r="CB105" s="2114"/>
      <c r="CC105" s="2113"/>
      <c r="CD105" s="2113"/>
      <c r="CE105" s="2554"/>
    </row>
    <row r="106" spans="1:84">
      <c r="B106" s="2080" t="str">
        <f t="shared" si="72"/>
        <v>3.3.4</v>
      </c>
      <c r="C106" s="2103" t="str">
        <f t="shared" si="78"/>
        <v>通信配線の更新性</v>
      </c>
      <c r="D106" s="2093">
        <f t="shared" si="77"/>
        <v>0.1</v>
      </c>
      <c r="E106" s="2105">
        <f t="shared" si="77"/>
        <v>0</v>
      </c>
      <c r="G106" s="2105">
        <f t="shared" si="79"/>
        <v>0.1</v>
      </c>
      <c r="H106" s="2105">
        <f t="shared" si="80"/>
        <v>0</v>
      </c>
      <c r="I106" s="2105"/>
      <c r="J106" s="2105"/>
      <c r="K106" s="2105">
        <f>IF(スコア!M106=0,0,1)</f>
        <v>1</v>
      </c>
      <c r="L106" s="2105">
        <f>IF(スコア!O106=0,0,1)</f>
        <v>0</v>
      </c>
      <c r="M106" s="2105">
        <f t="shared" si="81"/>
        <v>0.1</v>
      </c>
      <c r="N106" s="2105">
        <f t="shared" si="76"/>
        <v>0</v>
      </c>
      <c r="P106" s="2106" t="str">
        <f t="shared" si="56"/>
        <v>3.3.4</v>
      </c>
      <c r="Q106" s="2106" t="str">
        <f t="shared" si="57"/>
        <v xml:space="preserve"> Q2 3.3</v>
      </c>
      <c r="R106" s="2107" t="str">
        <f t="shared" si="82"/>
        <v>通信配線の更新性</v>
      </c>
      <c r="S106" s="2108">
        <f t="shared" si="83"/>
        <v>0.1</v>
      </c>
      <c r="T106" s="2108">
        <f t="shared" si="84"/>
        <v>0.1</v>
      </c>
      <c r="U106" s="2108">
        <f t="shared" si="85"/>
        <v>0.1</v>
      </c>
      <c r="V106" s="2108">
        <f t="shared" si="86"/>
        <v>0.1</v>
      </c>
      <c r="W106" s="2108">
        <f t="shared" si="87"/>
        <v>0.1</v>
      </c>
      <c r="X106" s="2108">
        <f t="shared" si="88"/>
        <v>0.1</v>
      </c>
      <c r="Y106" s="2108">
        <f t="shared" si="89"/>
        <v>0.1</v>
      </c>
      <c r="Z106" s="2117">
        <f t="shared" si="90"/>
        <v>0.1</v>
      </c>
      <c r="AA106" s="2108">
        <f t="shared" si="91"/>
        <v>0.1</v>
      </c>
      <c r="AB106" s="2108">
        <f t="shared" si="92"/>
        <v>0.1</v>
      </c>
      <c r="AC106" s="2109">
        <f t="shared" si="93"/>
        <v>0</v>
      </c>
      <c r="AD106" s="2108">
        <f t="shared" si="94"/>
        <v>0</v>
      </c>
      <c r="AE106" s="2108">
        <f t="shared" si="95"/>
        <v>0</v>
      </c>
      <c r="AG106" s="2106" t="s">
        <v>1521</v>
      </c>
      <c r="AH106" s="2110" t="s">
        <v>166</v>
      </c>
      <c r="AI106" s="2111" t="s">
        <v>170</v>
      </c>
      <c r="AJ106" s="2108">
        <v>0.1</v>
      </c>
      <c r="AK106" s="2108">
        <v>0.1</v>
      </c>
      <c r="AL106" s="2108">
        <v>0.1</v>
      </c>
      <c r="AM106" s="2108">
        <v>0.1</v>
      </c>
      <c r="AN106" s="2108">
        <v>0.1</v>
      </c>
      <c r="AO106" s="2108">
        <v>0.1</v>
      </c>
      <c r="AP106" s="2108">
        <v>0.1</v>
      </c>
      <c r="AQ106" s="2117">
        <v>0.1</v>
      </c>
      <c r="AR106" s="2108">
        <v>0.1</v>
      </c>
      <c r="AS106" s="2113">
        <v>0.1</v>
      </c>
      <c r="AT106" s="2114"/>
      <c r="AU106" s="2113"/>
      <c r="AV106" s="2113"/>
      <c r="AX106" s="2106" t="s">
        <v>1521</v>
      </c>
      <c r="AY106" s="2110" t="s">
        <v>166</v>
      </c>
      <c r="AZ106" s="2111" t="s">
        <v>170</v>
      </c>
      <c r="BA106" s="2113">
        <v>0.1</v>
      </c>
      <c r="BB106" s="2113">
        <v>0.1</v>
      </c>
      <c r="BC106" s="2113">
        <v>0.1</v>
      </c>
      <c r="BD106" s="2113">
        <v>0.1</v>
      </c>
      <c r="BE106" s="2113">
        <v>0.1</v>
      </c>
      <c r="BF106" s="2113">
        <v>0.1</v>
      </c>
      <c r="BG106" s="2113">
        <v>0.1</v>
      </c>
      <c r="BH106" s="2120">
        <v>0.1</v>
      </c>
      <c r="BI106" s="2113">
        <v>0.1</v>
      </c>
      <c r="BJ106" s="2113">
        <v>0.1</v>
      </c>
      <c r="BK106" s="2114"/>
      <c r="BL106" s="2113"/>
      <c r="BM106" s="2113"/>
      <c r="BO106" s="2106" t="s">
        <v>1521</v>
      </c>
      <c r="BP106" s="2110" t="s">
        <v>166</v>
      </c>
      <c r="BQ106" s="2111" t="s">
        <v>170</v>
      </c>
      <c r="BR106" s="2113">
        <v>0.1</v>
      </c>
      <c r="BS106" s="2113">
        <v>0.1</v>
      </c>
      <c r="BT106" s="2113">
        <v>0.1</v>
      </c>
      <c r="BU106" s="2113">
        <v>0.1</v>
      </c>
      <c r="BV106" s="2113">
        <v>0.1</v>
      </c>
      <c r="BW106" s="2113">
        <v>0.1</v>
      </c>
      <c r="BX106" s="2113">
        <v>0.1</v>
      </c>
      <c r="BY106" s="2120">
        <v>0.1</v>
      </c>
      <c r="BZ106" s="2113">
        <v>0.1</v>
      </c>
      <c r="CA106" s="2113">
        <v>0.1</v>
      </c>
      <c r="CB106" s="2114"/>
      <c r="CC106" s="2113"/>
      <c r="CD106" s="2113"/>
      <c r="CE106" s="2554"/>
    </row>
    <row r="107" spans="1:84">
      <c r="B107" s="2080" t="str">
        <f t="shared" ref="B107:B142" si="96">P107</f>
        <v>3.3.5</v>
      </c>
      <c r="C107" s="2103" t="str">
        <f t="shared" si="78"/>
        <v>設備機器の更新性</v>
      </c>
      <c r="D107" s="2093">
        <f t="shared" si="77"/>
        <v>0.2</v>
      </c>
      <c r="E107" s="2105">
        <f t="shared" si="77"/>
        <v>0</v>
      </c>
      <c r="G107" s="2105">
        <f t="shared" si="79"/>
        <v>0.2</v>
      </c>
      <c r="H107" s="2105">
        <f t="shared" si="80"/>
        <v>0</v>
      </c>
      <c r="I107" s="2105"/>
      <c r="J107" s="2105"/>
      <c r="K107" s="2105">
        <f>IF(スコア!M107=0,0,1)</f>
        <v>1</v>
      </c>
      <c r="L107" s="2105">
        <f>IF(スコア!O107=0,0,1)</f>
        <v>0</v>
      </c>
      <c r="M107" s="2105">
        <f t="shared" si="81"/>
        <v>0.2</v>
      </c>
      <c r="N107" s="2105">
        <f t="shared" si="76"/>
        <v>0</v>
      </c>
      <c r="P107" s="2106" t="str">
        <f t="shared" si="56"/>
        <v>3.3.5</v>
      </c>
      <c r="Q107" s="2106" t="str">
        <f t="shared" si="57"/>
        <v xml:space="preserve"> Q2 3.3</v>
      </c>
      <c r="R107" s="2107" t="str">
        <f t="shared" si="82"/>
        <v>設備機器の更新性</v>
      </c>
      <c r="S107" s="2108">
        <f t="shared" si="83"/>
        <v>0.2</v>
      </c>
      <c r="T107" s="2108">
        <f t="shared" si="84"/>
        <v>0.2</v>
      </c>
      <c r="U107" s="2108">
        <f t="shared" si="85"/>
        <v>0.2</v>
      </c>
      <c r="V107" s="2108">
        <f t="shared" si="86"/>
        <v>0.2</v>
      </c>
      <c r="W107" s="2108">
        <f t="shared" si="87"/>
        <v>0.2</v>
      </c>
      <c r="X107" s="2108">
        <f t="shared" si="88"/>
        <v>0.2</v>
      </c>
      <c r="Y107" s="2108">
        <f t="shared" si="89"/>
        <v>0.2</v>
      </c>
      <c r="Z107" s="2117">
        <f t="shared" si="90"/>
        <v>0.2</v>
      </c>
      <c r="AA107" s="2108">
        <f t="shared" si="91"/>
        <v>0.2</v>
      </c>
      <c r="AB107" s="2108">
        <f t="shared" si="92"/>
        <v>0.2</v>
      </c>
      <c r="AC107" s="2109">
        <f t="shared" si="93"/>
        <v>0</v>
      </c>
      <c r="AD107" s="2108">
        <f t="shared" si="94"/>
        <v>0</v>
      </c>
      <c r="AE107" s="2108">
        <f t="shared" si="95"/>
        <v>0</v>
      </c>
      <c r="AG107" s="2106" t="s">
        <v>1522</v>
      </c>
      <c r="AH107" s="2110" t="s">
        <v>166</v>
      </c>
      <c r="AI107" s="2111" t="s">
        <v>171</v>
      </c>
      <c r="AJ107" s="2108">
        <v>0.2</v>
      </c>
      <c r="AK107" s="2108">
        <v>0.2</v>
      </c>
      <c r="AL107" s="2108">
        <v>0.2</v>
      </c>
      <c r="AM107" s="2108">
        <v>0.2</v>
      </c>
      <c r="AN107" s="2108">
        <v>0.2</v>
      </c>
      <c r="AO107" s="2108">
        <v>0.2</v>
      </c>
      <c r="AP107" s="2108">
        <v>0.2</v>
      </c>
      <c r="AQ107" s="2117">
        <v>0.2</v>
      </c>
      <c r="AR107" s="2108">
        <v>0.2</v>
      </c>
      <c r="AS107" s="2113">
        <v>0.2</v>
      </c>
      <c r="AT107" s="2114"/>
      <c r="AU107" s="2113"/>
      <c r="AV107" s="2113"/>
      <c r="AX107" s="2106" t="s">
        <v>1522</v>
      </c>
      <c r="AY107" s="2110" t="s">
        <v>166</v>
      </c>
      <c r="AZ107" s="2111" t="s">
        <v>171</v>
      </c>
      <c r="BA107" s="2113">
        <v>0.2</v>
      </c>
      <c r="BB107" s="2113">
        <v>0.2</v>
      </c>
      <c r="BC107" s="2113">
        <v>0.2</v>
      </c>
      <c r="BD107" s="2113">
        <v>0.2</v>
      </c>
      <c r="BE107" s="2113">
        <v>0.2</v>
      </c>
      <c r="BF107" s="2113">
        <v>0.2</v>
      </c>
      <c r="BG107" s="2113">
        <v>0.2</v>
      </c>
      <c r="BH107" s="2120">
        <v>0.2</v>
      </c>
      <c r="BI107" s="2113">
        <v>0.2</v>
      </c>
      <c r="BJ107" s="2113">
        <v>0.2</v>
      </c>
      <c r="BK107" s="2114"/>
      <c r="BL107" s="2113"/>
      <c r="BM107" s="2113"/>
      <c r="BO107" s="2106" t="s">
        <v>1522</v>
      </c>
      <c r="BP107" s="2110" t="s">
        <v>166</v>
      </c>
      <c r="BQ107" s="2111" t="s">
        <v>171</v>
      </c>
      <c r="BR107" s="2113">
        <v>0.2</v>
      </c>
      <c r="BS107" s="2113">
        <v>0.2</v>
      </c>
      <c r="BT107" s="2113">
        <v>0.2</v>
      </c>
      <c r="BU107" s="2113">
        <v>0.2</v>
      </c>
      <c r="BV107" s="2113">
        <v>0.2</v>
      </c>
      <c r="BW107" s="2113">
        <v>0.2</v>
      </c>
      <c r="BX107" s="2113">
        <v>0.2</v>
      </c>
      <c r="BY107" s="2120">
        <v>0.2</v>
      </c>
      <c r="BZ107" s="2113">
        <v>0.2</v>
      </c>
      <c r="CA107" s="2113">
        <v>0.2</v>
      </c>
      <c r="CB107" s="2114"/>
      <c r="CC107" s="2113"/>
      <c r="CD107" s="2113"/>
      <c r="CE107" s="2554"/>
    </row>
    <row r="108" spans="1:84">
      <c r="B108" s="2080" t="str">
        <f t="shared" si="96"/>
        <v>3.3.6</v>
      </c>
      <c r="C108" s="2103" t="str">
        <f t="shared" si="78"/>
        <v>バックアップスペースの確保</v>
      </c>
      <c r="D108" s="2093">
        <f t="shared" si="77"/>
        <v>0.2</v>
      </c>
      <c r="E108" s="2105">
        <f t="shared" si="77"/>
        <v>0</v>
      </c>
      <c r="G108" s="2105">
        <f t="shared" si="79"/>
        <v>0.2</v>
      </c>
      <c r="H108" s="2105">
        <f t="shared" si="80"/>
        <v>0</v>
      </c>
      <c r="I108" s="2105"/>
      <c r="J108" s="2105"/>
      <c r="K108" s="2105">
        <f>IF(スコア!M108=0,0,1)</f>
        <v>1</v>
      </c>
      <c r="L108" s="2105">
        <f>IF(スコア!O108=0,0,1)</f>
        <v>0</v>
      </c>
      <c r="M108" s="2105">
        <f t="shared" si="81"/>
        <v>0.2</v>
      </c>
      <c r="N108" s="2105">
        <f t="shared" si="76"/>
        <v>0</v>
      </c>
      <c r="P108" s="2106" t="str">
        <f t="shared" si="56"/>
        <v>3.3.6</v>
      </c>
      <c r="Q108" s="2106" t="str">
        <f t="shared" si="57"/>
        <v xml:space="preserve"> Q2 3.3</v>
      </c>
      <c r="R108" s="2107" t="str">
        <f t="shared" si="82"/>
        <v>バックアップスペースの確保</v>
      </c>
      <c r="S108" s="2108">
        <f t="shared" si="83"/>
        <v>0.2</v>
      </c>
      <c r="T108" s="2108">
        <f t="shared" si="84"/>
        <v>0.2</v>
      </c>
      <c r="U108" s="2108">
        <f t="shared" si="85"/>
        <v>0.2</v>
      </c>
      <c r="V108" s="2108">
        <f t="shared" si="86"/>
        <v>0.2</v>
      </c>
      <c r="W108" s="2108">
        <f t="shared" si="87"/>
        <v>0.2</v>
      </c>
      <c r="X108" s="2108">
        <f t="shared" si="88"/>
        <v>0.2</v>
      </c>
      <c r="Y108" s="2108">
        <f t="shared" si="89"/>
        <v>0.2</v>
      </c>
      <c r="Z108" s="2117">
        <f t="shared" si="90"/>
        <v>0.2</v>
      </c>
      <c r="AA108" s="2108">
        <f t="shared" si="91"/>
        <v>0.2</v>
      </c>
      <c r="AB108" s="2108">
        <f t="shared" si="92"/>
        <v>0.2</v>
      </c>
      <c r="AC108" s="2109">
        <f t="shared" si="93"/>
        <v>0</v>
      </c>
      <c r="AD108" s="2108">
        <f t="shared" si="94"/>
        <v>0</v>
      </c>
      <c r="AE108" s="2108">
        <f t="shared" si="95"/>
        <v>0</v>
      </c>
      <c r="AG108" s="2106" t="s">
        <v>1523</v>
      </c>
      <c r="AH108" s="2110" t="s">
        <v>166</v>
      </c>
      <c r="AI108" s="2111" t="s">
        <v>1369</v>
      </c>
      <c r="AJ108" s="2108">
        <v>0.2</v>
      </c>
      <c r="AK108" s="2108">
        <v>0.2</v>
      </c>
      <c r="AL108" s="2108">
        <v>0.2</v>
      </c>
      <c r="AM108" s="2108">
        <v>0.2</v>
      </c>
      <c r="AN108" s="2108">
        <v>0.2</v>
      </c>
      <c r="AO108" s="2108">
        <v>0.2</v>
      </c>
      <c r="AP108" s="2108">
        <v>0.2</v>
      </c>
      <c r="AQ108" s="2117">
        <v>0.2</v>
      </c>
      <c r="AR108" s="2108">
        <v>0.2</v>
      </c>
      <c r="AS108" s="2113">
        <v>0.2</v>
      </c>
      <c r="AT108" s="2114"/>
      <c r="AU108" s="2113"/>
      <c r="AV108" s="2113"/>
      <c r="AX108" s="2106" t="s">
        <v>1523</v>
      </c>
      <c r="AY108" s="2110" t="s">
        <v>166</v>
      </c>
      <c r="AZ108" s="2111" t="s">
        <v>2208</v>
      </c>
      <c r="BA108" s="2113">
        <v>0.2</v>
      </c>
      <c r="BB108" s="2113">
        <v>0.2</v>
      </c>
      <c r="BC108" s="2113">
        <v>0.2</v>
      </c>
      <c r="BD108" s="2113">
        <v>0.2</v>
      </c>
      <c r="BE108" s="2113">
        <v>0.2</v>
      </c>
      <c r="BF108" s="2113">
        <v>0.2</v>
      </c>
      <c r="BG108" s="2113">
        <v>0.2</v>
      </c>
      <c r="BH108" s="2120">
        <v>0.2</v>
      </c>
      <c r="BI108" s="2113">
        <v>0.2</v>
      </c>
      <c r="BJ108" s="2113">
        <v>0.2</v>
      </c>
      <c r="BK108" s="2114"/>
      <c r="BL108" s="2113"/>
      <c r="BM108" s="2113"/>
      <c r="BO108" s="2106" t="s">
        <v>1523</v>
      </c>
      <c r="BP108" s="2110" t="s">
        <v>166</v>
      </c>
      <c r="BQ108" s="2111" t="s">
        <v>1369</v>
      </c>
      <c r="BR108" s="2113">
        <v>0.2</v>
      </c>
      <c r="BS108" s="2113">
        <v>0.2</v>
      </c>
      <c r="BT108" s="2113">
        <v>0.2</v>
      </c>
      <c r="BU108" s="2113">
        <v>0.2</v>
      </c>
      <c r="BV108" s="2113">
        <v>0.2</v>
      </c>
      <c r="BW108" s="2113">
        <v>0.2</v>
      </c>
      <c r="BX108" s="2113">
        <v>0.2</v>
      </c>
      <c r="BY108" s="2120">
        <v>0.2</v>
      </c>
      <c r="BZ108" s="2113">
        <v>0.2</v>
      </c>
      <c r="CA108" s="2113">
        <v>0.2</v>
      </c>
      <c r="CB108" s="2114"/>
      <c r="CC108" s="2113"/>
      <c r="CD108" s="2113"/>
      <c r="CE108" s="2554"/>
    </row>
    <row r="109" spans="1:84" s="1485" customFormat="1">
      <c r="A109"/>
      <c r="B109" s="2080" t="str">
        <f t="shared" si="96"/>
        <v>Q3</v>
      </c>
      <c r="C109" s="2084" t="str">
        <f t="shared" si="78"/>
        <v>室外環境（敷地内）</v>
      </c>
      <c r="D109" s="2082">
        <f>IF(I$8=0,0,G109/I$8)</f>
        <v>0.3</v>
      </c>
      <c r="E109" s="2083">
        <f>IF(J$8=0,0,H109/J$8)</f>
        <v>0</v>
      </c>
      <c r="F109"/>
      <c r="G109" s="2083">
        <f t="shared" si="79"/>
        <v>0.3</v>
      </c>
      <c r="H109" s="2083">
        <f t="shared" si="80"/>
        <v>0</v>
      </c>
      <c r="I109" s="2083">
        <f>G110+G111+G112</f>
        <v>1</v>
      </c>
      <c r="J109" s="2083">
        <f>H110+H111+H112</f>
        <v>0</v>
      </c>
      <c r="K109" s="2083">
        <f>IF(スコア!Q109=0,0,1)</f>
        <v>1</v>
      </c>
      <c r="L109" s="2083">
        <f>IF(スコア!O109=0,0,1)</f>
        <v>0</v>
      </c>
      <c r="M109" s="2083">
        <f t="shared" si="81"/>
        <v>0.3</v>
      </c>
      <c r="N109" s="2083">
        <f t="shared" si="76"/>
        <v>0</v>
      </c>
      <c r="O109"/>
      <c r="P109" s="2080" t="str">
        <f t="shared" si="56"/>
        <v>Q3</v>
      </c>
      <c r="Q109" s="2080" t="str">
        <f t="shared" si="57"/>
        <v xml:space="preserve"> Q</v>
      </c>
      <c r="R109" s="2084" t="str">
        <f t="shared" si="82"/>
        <v>室外環境（敷地内）</v>
      </c>
      <c r="S109" s="2085">
        <f t="shared" si="83"/>
        <v>0.3</v>
      </c>
      <c r="T109" s="2085">
        <f t="shared" si="84"/>
        <v>0.3</v>
      </c>
      <c r="U109" s="2085">
        <f t="shared" si="85"/>
        <v>0.3</v>
      </c>
      <c r="V109" s="2085">
        <f t="shared" si="86"/>
        <v>0.3</v>
      </c>
      <c r="W109" s="2085">
        <f t="shared" si="87"/>
        <v>0.3</v>
      </c>
      <c r="X109" s="2085">
        <f t="shared" si="88"/>
        <v>0.3</v>
      </c>
      <c r="Y109" s="2085">
        <f t="shared" si="89"/>
        <v>0.3</v>
      </c>
      <c r="Z109" s="2085">
        <f t="shared" si="90"/>
        <v>0.3</v>
      </c>
      <c r="AA109" s="2085">
        <f t="shared" si="91"/>
        <v>0.4</v>
      </c>
      <c r="AB109" s="2085">
        <f t="shared" si="92"/>
        <v>0.3</v>
      </c>
      <c r="AC109" s="2086">
        <f t="shared" si="93"/>
        <v>0</v>
      </c>
      <c r="AD109" s="2085">
        <f t="shared" si="94"/>
        <v>0</v>
      </c>
      <c r="AE109" s="2085">
        <f t="shared" si="95"/>
        <v>0</v>
      </c>
      <c r="AF109"/>
      <c r="AG109" s="2080" t="s">
        <v>1524</v>
      </c>
      <c r="AH109" s="2087" t="s">
        <v>1038</v>
      </c>
      <c r="AI109" s="2084" t="s">
        <v>1525</v>
      </c>
      <c r="AJ109" s="2085">
        <v>0.3</v>
      </c>
      <c r="AK109" s="2085">
        <v>0.3</v>
      </c>
      <c r="AL109" s="2085">
        <v>0.3</v>
      </c>
      <c r="AM109" s="2085">
        <v>0.3</v>
      </c>
      <c r="AN109" s="2085">
        <v>0.3</v>
      </c>
      <c r="AO109" s="2085">
        <v>0.3</v>
      </c>
      <c r="AP109" s="2085">
        <v>0.3</v>
      </c>
      <c r="AQ109" s="2085">
        <v>0.3</v>
      </c>
      <c r="AR109" s="2085">
        <v>0.4</v>
      </c>
      <c r="AS109" s="2088">
        <v>0.3</v>
      </c>
      <c r="AT109" s="2089">
        <v>0</v>
      </c>
      <c r="AU109" s="2088">
        <v>0</v>
      </c>
      <c r="AV109" s="2088">
        <v>0</v>
      </c>
      <c r="AW109"/>
      <c r="AX109" s="2080" t="s">
        <v>1524</v>
      </c>
      <c r="AY109" s="2087" t="s">
        <v>1038</v>
      </c>
      <c r="AZ109" s="2084" t="s">
        <v>1525</v>
      </c>
      <c r="BA109" s="2088">
        <v>0.3</v>
      </c>
      <c r="BB109" s="2088">
        <v>0.3</v>
      </c>
      <c r="BC109" s="2088">
        <v>0.3</v>
      </c>
      <c r="BD109" s="2088">
        <v>0.3</v>
      </c>
      <c r="BE109" s="2088">
        <v>0.3</v>
      </c>
      <c r="BF109" s="2088">
        <v>0.3</v>
      </c>
      <c r="BG109" s="2088">
        <v>0.3</v>
      </c>
      <c r="BH109" s="2088">
        <v>0.3</v>
      </c>
      <c r="BI109" s="2088">
        <v>0.4</v>
      </c>
      <c r="BJ109" s="2088">
        <v>0.3</v>
      </c>
      <c r="BK109" s="2089"/>
      <c r="BL109" s="2088"/>
      <c r="BM109" s="2088"/>
      <c r="BN109"/>
      <c r="BO109" s="2080" t="s">
        <v>1524</v>
      </c>
      <c r="BP109" s="2087" t="s">
        <v>1038</v>
      </c>
      <c r="BQ109" s="2084" t="s">
        <v>1525</v>
      </c>
      <c r="BR109" s="2088">
        <v>0.3</v>
      </c>
      <c r="BS109" s="2088">
        <v>0.3</v>
      </c>
      <c r="BT109" s="2088">
        <v>0.3</v>
      </c>
      <c r="BU109" s="2088">
        <v>0.3</v>
      </c>
      <c r="BV109" s="2088">
        <v>0.3</v>
      </c>
      <c r="BW109" s="2088">
        <v>0.3</v>
      </c>
      <c r="BX109" s="2088">
        <v>0.3</v>
      </c>
      <c r="BY109" s="2088">
        <v>0.3</v>
      </c>
      <c r="BZ109" s="2088">
        <v>0.4</v>
      </c>
      <c r="CA109" s="2088">
        <v>0.3</v>
      </c>
      <c r="CB109" s="2089"/>
      <c r="CC109" s="2088"/>
      <c r="CD109" s="2088"/>
      <c r="CE109" s="2552"/>
      <c r="CF109"/>
    </row>
    <row r="110" spans="1:84" s="1485" customFormat="1">
      <c r="A110"/>
      <c r="B110" s="2080">
        <f t="shared" si="96"/>
        <v>1</v>
      </c>
      <c r="C110" s="2121" t="str">
        <f t="shared" si="78"/>
        <v>生物資源の保全と創出</v>
      </c>
      <c r="D110" s="2091">
        <f t="shared" ref="D110:E112" si="97">IF(I$109=0,0,G110/I$109)</f>
        <v>0.3</v>
      </c>
      <c r="E110" s="2092">
        <f t="shared" si="97"/>
        <v>0</v>
      </c>
      <c r="F110"/>
      <c r="G110" s="2092">
        <f t="shared" si="79"/>
        <v>0.3</v>
      </c>
      <c r="H110" s="2092">
        <f t="shared" si="80"/>
        <v>0</v>
      </c>
      <c r="I110" s="2092"/>
      <c r="J110" s="2092"/>
      <c r="K110" s="2092">
        <f>IF(スコア!M110=0,0,1)</f>
        <v>1</v>
      </c>
      <c r="L110" s="2092">
        <f>IF(スコア!O110=0,0,1)</f>
        <v>0</v>
      </c>
      <c r="M110" s="2092">
        <f t="shared" si="81"/>
        <v>0.3</v>
      </c>
      <c r="N110" s="2092">
        <f t="shared" si="76"/>
        <v>0</v>
      </c>
      <c r="O110"/>
      <c r="P110" s="2094">
        <f t="shared" si="56"/>
        <v>1</v>
      </c>
      <c r="Q110" s="2094" t="str">
        <f t="shared" si="57"/>
        <v xml:space="preserve"> Q3</v>
      </c>
      <c r="R110" s="2095" t="str">
        <f t="shared" si="82"/>
        <v>生物資源の保全と創出</v>
      </c>
      <c r="S110" s="2096">
        <f t="shared" si="83"/>
        <v>0.3</v>
      </c>
      <c r="T110" s="2096">
        <f t="shared" si="84"/>
        <v>0.3</v>
      </c>
      <c r="U110" s="2096">
        <f t="shared" si="85"/>
        <v>0.3</v>
      </c>
      <c r="V110" s="2096">
        <f t="shared" si="86"/>
        <v>0.3</v>
      </c>
      <c r="W110" s="2096">
        <f t="shared" si="87"/>
        <v>0.3</v>
      </c>
      <c r="X110" s="2096">
        <f t="shared" si="88"/>
        <v>0.3</v>
      </c>
      <c r="Y110" s="2096">
        <f t="shared" si="89"/>
        <v>0.3</v>
      </c>
      <c r="Z110" s="2160">
        <f t="shared" si="90"/>
        <v>0.3</v>
      </c>
      <c r="AA110" s="2096">
        <f t="shared" si="91"/>
        <v>0.3</v>
      </c>
      <c r="AB110" s="2096">
        <f t="shared" si="92"/>
        <v>0.3</v>
      </c>
      <c r="AC110" s="2098">
        <f t="shared" si="93"/>
        <v>0</v>
      </c>
      <c r="AD110" s="2096">
        <f t="shared" si="94"/>
        <v>0</v>
      </c>
      <c r="AE110" s="2096">
        <f t="shared" si="95"/>
        <v>0</v>
      </c>
      <c r="AF110"/>
      <c r="AG110" s="2094">
        <v>1</v>
      </c>
      <c r="AH110" s="2099" t="s">
        <v>172</v>
      </c>
      <c r="AI110" s="2123" t="s">
        <v>173</v>
      </c>
      <c r="AJ110" s="2096">
        <v>0.3</v>
      </c>
      <c r="AK110" s="2096">
        <v>0.3</v>
      </c>
      <c r="AL110" s="2096">
        <v>0.3</v>
      </c>
      <c r="AM110" s="2096">
        <v>0.3</v>
      </c>
      <c r="AN110" s="2096">
        <v>0.3</v>
      </c>
      <c r="AO110" s="2096">
        <v>0.3</v>
      </c>
      <c r="AP110" s="2096">
        <v>0.3</v>
      </c>
      <c r="AQ110" s="2160">
        <v>0.3</v>
      </c>
      <c r="AR110" s="2096">
        <v>0.3</v>
      </c>
      <c r="AS110" s="2100">
        <v>0.3</v>
      </c>
      <c r="AT110" s="2101">
        <v>0</v>
      </c>
      <c r="AU110" s="2100">
        <v>0</v>
      </c>
      <c r="AV110" s="2100">
        <v>0</v>
      </c>
      <c r="AW110"/>
      <c r="AX110" s="2094">
        <v>1</v>
      </c>
      <c r="AY110" s="2099" t="s">
        <v>172</v>
      </c>
      <c r="AZ110" s="2123" t="s">
        <v>173</v>
      </c>
      <c r="BA110" s="2100">
        <v>0.3</v>
      </c>
      <c r="BB110" s="2100">
        <v>0.3</v>
      </c>
      <c r="BC110" s="2100">
        <v>0.3</v>
      </c>
      <c r="BD110" s="2100">
        <v>0.3</v>
      </c>
      <c r="BE110" s="2100">
        <v>0.3</v>
      </c>
      <c r="BF110" s="2100">
        <v>0.3</v>
      </c>
      <c r="BG110" s="2100">
        <v>0.3</v>
      </c>
      <c r="BH110" s="2161">
        <v>0.3</v>
      </c>
      <c r="BI110" s="2100">
        <v>0.3</v>
      </c>
      <c r="BJ110" s="2100">
        <v>0.3</v>
      </c>
      <c r="BK110" s="2101"/>
      <c r="BL110" s="2100"/>
      <c r="BM110" s="2100"/>
      <c r="BN110"/>
      <c r="BO110" s="2094">
        <v>1</v>
      </c>
      <c r="BP110" s="2099" t="s">
        <v>172</v>
      </c>
      <c r="BQ110" s="2123" t="s">
        <v>173</v>
      </c>
      <c r="BR110" s="2100">
        <v>0.3</v>
      </c>
      <c r="BS110" s="2100">
        <v>0.3</v>
      </c>
      <c r="BT110" s="2100">
        <v>0.3</v>
      </c>
      <c r="BU110" s="2100">
        <v>0.3</v>
      </c>
      <c r="BV110" s="2100">
        <v>0.3</v>
      </c>
      <c r="BW110" s="2100">
        <v>0.3</v>
      </c>
      <c r="BX110" s="2100">
        <v>0.3</v>
      </c>
      <c r="BY110" s="2161">
        <v>0.3</v>
      </c>
      <c r="BZ110" s="2100">
        <v>0.3</v>
      </c>
      <c r="CA110" s="2100">
        <v>0.3</v>
      </c>
      <c r="CB110" s="2101"/>
      <c r="CC110" s="2100"/>
      <c r="CD110" s="2100"/>
      <c r="CE110" s="2553"/>
      <c r="CF110"/>
    </row>
    <row r="111" spans="1:84" s="1485" customFormat="1">
      <c r="A111"/>
      <c r="B111" s="2080">
        <f t="shared" si="96"/>
        <v>2</v>
      </c>
      <c r="C111" s="2121" t="str">
        <f t="shared" si="78"/>
        <v>まちなみ・景観への配慮</v>
      </c>
      <c r="D111" s="2091">
        <f t="shared" si="97"/>
        <v>0.4</v>
      </c>
      <c r="E111" s="2092">
        <f t="shared" si="97"/>
        <v>0</v>
      </c>
      <c r="F111"/>
      <c r="G111" s="2092">
        <f t="shared" si="79"/>
        <v>0.4</v>
      </c>
      <c r="H111" s="2092">
        <f t="shared" si="80"/>
        <v>0</v>
      </c>
      <c r="I111" s="2092"/>
      <c r="J111" s="2092"/>
      <c r="K111" s="2092">
        <f>IF(スコア!M111=0,0,1)</f>
        <v>1</v>
      </c>
      <c r="L111" s="2092">
        <f>IF(スコア!O111=0,0,1)</f>
        <v>0</v>
      </c>
      <c r="M111" s="2092">
        <f t="shared" si="81"/>
        <v>0.4</v>
      </c>
      <c r="N111" s="2092">
        <f t="shared" si="76"/>
        <v>0</v>
      </c>
      <c r="O111"/>
      <c r="P111" s="2094">
        <f t="shared" si="56"/>
        <v>2</v>
      </c>
      <c r="Q111" s="2094" t="str">
        <f t="shared" si="57"/>
        <v xml:space="preserve"> Q3</v>
      </c>
      <c r="R111" s="2095" t="str">
        <f t="shared" si="82"/>
        <v>まちなみ・景観への配慮</v>
      </c>
      <c r="S111" s="2096">
        <f t="shared" si="83"/>
        <v>0.4</v>
      </c>
      <c r="T111" s="2096">
        <f t="shared" si="84"/>
        <v>0.4</v>
      </c>
      <c r="U111" s="2096">
        <f t="shared" si="85"/>
        <v>0.4</v>
      </c>
      <c r="V111" s="2096">
        <f t="shared" si="86"/>
        <v>0.4</v>
      </c>
      <c r="W111" s="2096">
        <f t="shared" si="87"/>
        <v>0.4</v>
      </c>
      <c r="X111" s="2096">
        <f t="shared" si="88"/>
        <v>0.4</v>
      </c>
      <c r="Y111" s="2096">
        <f t="shared" si="89"/>
        <v>0.4</v>
      </c>
      <c r="Z111" s="2160">
        <f t="shared" si="90"/>
        <v>0.4</v>
      </c>
      <c r="AA111" s="2096">
        <f t="shared" si="91"/>
        <v>0.4</v>
      </c>
      <c r="AB111" s="2096">
        <f t="shared" si="92"/>
        <v>0.4</v>
      </c>
      <c r="AC111" s="2098">
        <f t="shared" si="93"/>
        <v>0</v>
      </c>
      <c r="AD111" s="2096">
        <f t="shared" si="94"/>
        <v>0</v>
      </c>
      <c r="AE111" s="2096">
        <f t="shared" si="95"/>
        <v>0</v>
      </c>
      <c r="AF111"/>
      <c r="AG111" s="2094">
        <v>2</v>
      </c>
      <c r="AH111" s="2099" t="s">
        <v>172</v>
      </c>
      <c r="AI111" s="2123" t="s">
        <v>1526</v>
      </c>
      <c r="AJ111" s="2096">
        <v>0.4</v>
      </c>
      <c r="AK111" s="2096">
        <v>0.4</v>
      </c>
      <c r="AL111" s="2096">
        <v>0.4</v>
      </c>
      <c r="AM111" s="2096">
        <v>0.4</v>
      </c>
      <c r="AN111" s="2096">
        <v>0.4</v>
      </c>
      <c r="AO111" s="2096">
        <v>0.4</v>
      </c>
      <c r="AP111" s="2096">
        <v>0.4</v>
      </c>
      <c r="AQ111" s="2160">
        <v>0.4</v>
      </c>
      <c r="AR111" s="2096">
        <v>0.4</v>
      </c>
      <c r="AS111" s="2100">
        <v>0.4</v>
      </c>
      <c r="AT111" s="2101">
        <v>0</v>
      </c>
      <c r="AU111" s="2100">
        <v>0</v>
      </c>
      <c r="AV111" s="2100">
        <v>0</v>
      </c>
      <c r="AW111"/>
      <c r="AX111" s="2094">
        <v>2</v>
      </c>
      <c r="AY111" s="2099" t="s">
        <v>172</v>
      </c>
      <c r="AZ111" s="2123" t="s">
        <v>1526</v>
      </c>
      <c r="BA111" s="2100">
        <v>0.4</v>
      </c>
      <c r="BB111" s="2100">
        <v>0.4</v>
      </c>
      <c r="BC111" s="2100">
        <v>0.4</v>
      </c>
      <c r="BD111" s="2100">
        <v>0.4</v>
      </c>
      <c r="BE111" s="2100">
        <v>0.4</v>
      </c>
      <c r="BF111" s="2100">
        <v>0.4</v>
      </c>
      <c r="BG111" s="2100">
        <v>0.4</v>
      </c>
      <c r="BH111" s="2161">
        <v>0.4</v>
      </c>
      <c r="BI111" s="2100">
        <v>0.4</v>
      </c>
      <c r="BJ111" s="2100">
        <v>0.4</v>
      </c>
      <c r="BK111" s="2101"/>
      <c r="BL111" s="2100"/>
      <c r="BM111" s="2100"/>
      <c r="BN111"/>
      <c r="BO111" s="2094">
        <v>2</v>
      </c>
      <c r="BP111" s="2099" t="s">
        <v>172</v>
      </c>
      <c r="BQ111" s="2123" t="s">
        <v>1526</v>
      </c>
      <c r="BR111" s="2100">
        <v>0.4</v>
      </c>
      <c r="BS111" s="2100">
        <v>0.4</v>
      </c>
      <c r="BT111" s="2100">
        <v>0.4</v>
      </c>
      <c r="BU111" s="2100">
        <v>0.4</v>
      </c>
      <c r="BV111" s="2100">
        <v>0.4</v>
      </c>
      <c r="BW111" s="2100">
        <v>0.4</v>
      </c>
      <c r="BX111" s="2100">
        <v>0.4</v>
      </c>
      <c r="BY111" s="2161">
        <v>0.4</v>
      </c>
      <c r="BZ111" s="2100">
        <v>0.4</v>
      </c>
      <c r="CA111" s="2100">
        <v>0.4</v>
      </c>
      <c r="CB111" s="2101"/>
      <c r="CC111" s="2100"/>
      <c r="CD111" s="2100"/>
      <c r="CE111" s="2553"/>
      <c r="CF111"/>
    </row>
    <row r="112" spans="1:84" s="1485" customFormat="1">
      <c r="A112"/>
      <c r="B112" s="2080">
        <f t="shared" si="96"/>
        <v>3</v>
      </c>
      <c r="C112" s="2121" t="str">
        <f t="shared" si="78"/>
        <v>地域性・アメニティへの配慮</v>
      </c>
      <c r="D112" s="2091">
        <f t="shared" si="97"/>
        <v>0.3</v>
      </c>
      <c r="E112" s="2092">
        <f t="shared" si="97"/>
        <v>0</v>
      </c>
      <c r="F112"/>
      <c r="G112" s="2092">
        <f t="shared" si="79"/>
        <v>0.3</v>
      </c>
      <c r="H112" s="2092">
        <f t="shared" si="80"/>
        <v>0</v>
      </c>
      <c r="I112" s="2164">
        <f>SUM(G113:G114)</f>
        <v>1</v>
      </c>
      <c r="J112" s="2164">
        <f>SUM(H113:H114)</f>
        <v>0</v>
      </c>
      <c r="K112" s="2092">
        <f>IF(スコア!M112=0,0,1)</f>
        <v>1</v>
      </c>
      <c r="L112" s="2092">
        <f>IF(スコア!O112=0,0,1)</f>
        <v>0</v>
      </c>
      <c r="M112" s="2092">
        <f t="shared" si="81"/>
        <v>0.3</v>
      </c>
      <c r="N112" s="2092">
        <f t="shared" si="76"/>
        <v>0</v>
      </c>
      <c r="O112"/>
      <c r="P112" s="2094">
        <f t="shared" si="56"/>
        <v>3</v>
      </c>
      <c r="Q112" s="2094" t="str">
        <f t="shared" si="57"/>
        <v xml:space="preserve"> Q3</v>
      </c>
      <c r="R112" s="2095" t="str">
        <f t="shared" si="82"/>
        <v>地域性・アメニティへの配慮</v>
      </c>
      <c r="S112" s="2096">
        <f t="shared" si="83"/>
        <v>0.3</v>
      </c>
      <c r="T112" s="2096">
        <f t="shared" si="84"/>
        <v>0.3</v>
      </c>
      <c r="U112" s="2096">
        <f t="shared" si="85"/>
        <v>0.3</v>
      </c>
      <c r="V112" s="2096">
        <f t="shared" si="86"/>
        <v>0.3</v>
      </c>
      <c r="W112" s="2096">
        <f t="shared" si="87"/>
        <v>0.3</v>
      </c>
      <c r="X112" s="2096">
        <f t="shared" si="88"/>
        <v>0.3</v>
      </c>
      <c r="Y112" s="2096">
        <f t="shared" si="89"/>
        <v>0.3</v>
      </c>
      <c r="Z112" s="2160">
        <f t="shared" si="90"/>
        <v>0.3</v>
      </c>
      <c r="AA112" s="2096">
        <f t="shared" si="91"/>
        <v>0.3</v>
      </c>
      <c r="AB112" s="2096">
        <f t="shared" si="92"/>
        <v>0.3</v>
      </c>
      <c r="AC112" s="2098">
        <f t="shared" si="93"/>
        <v>0</v>
      </c>
      <c r="AD112" s="2096">
        <f t="shared" si="94"/>
        <v>0</v>
      </c>
      <c r="AE112" s="2096">
        <f t="shared" si="95"/>
        <v>0</v>
      </c>
      <c r="AF112"/>
      <c r="AG112" s="2094">
        <v>3</v>
      </c>
      <c r="AH112" s="2099" t="s">
        <v>172</v>
      </c>
      <c r="AI112" s="2123" t="s">
        <v>1527</v>
      </c>
      <c r="AJ112" s="2096">
        <v>0.3</v>
      </c>
      <c r="AK112" s="2096">
        <v>0.3</v>
      </c>
      <c r="AL112" s="2096">
        <v>0.3</v>
      </c>
      <c r="AM112" s="2096">
        <v>0.3</v>
      </c>
      <c r="AN112" s="2096">
        <v>0.3</v>
      </c>
      <c r="AO112" s="2096">
        <v>0.3</v>
      </c>
      <c r="AP112" s="2096">
        <v>0.3</v>
      </c>
      <c r="AQ112" s="2160">
        <v>0.3</v>
      </c>
      <c r="AR112" s="2096">
        <v>0.3</v>
      </c>
      <c r="AS112" s="2100">
        <v>0.3</v>
      </c>
      <c r="AT112" s="2101">
        <v>0</v>
      </c>
      <c r="AU112" s="2100">
        <v>0</v>
      </c>
      <c r="AV112" s="2100">
        <v>0</v>
      </c>
      <c r="AW112"/>
      <c r="AX112" s="2094">
        <v>3</v>
      </c>
      <c r="AY112" s="2099" t="s">
        <v>172</v>
      </c>
      <c r="AZ112" s="2123" t="s">
        <v>1527</v>
      </c>
      <c r="BA112" s="2100">
        <v>0.3</v>
      </c>
      <c r="BB112" s="2100">
        <v>0.3</v>
      </c>
      <c r="BC112" s="2100">
        <v>0.3</v>
      </c>
      <c r="BD112" s="2100">
        <v>0.3</v>
      </c>
      <c r="BE112" s="2100">
        <v>0.3</v>
      </c>
      <c r="BF112" s="2100">
        <v>0.3</v>
      </c>
      <c r="BG112" s="2100">
        <v>0.3</v>
      </c>
      <c r="BH112" s="2161">
        <v>0.3</v>
      </c>
      <c r="BI112" s="2100">
        <v>0.3</v>
      </c>
      <c r="BJ112" s="2100">
        <v>0.3</v>
      </c>
      <c r="BK112" s="2101"/>
      <c r="BL112" s="2100"/>
      <c r="BM112" s="2100"/>
      <c r="BN112"/>
      <c r="BO112" s="2094">
        <v>3</v>
      </c>
      <c r="BP112" s="2099" t="s">
        <v>172</v>
      </c>
      <c r="BQ112" s="2123" t="s">
        <v>1527</v>
      </c>
      <c r="BR112" s="2100">
        <v>0.3</v>
      </c>
      <c r="BS112" s="2100">
        <v>0.3</v>
      </c>
      <c r="BT112" s="2100">
        <v>0.3</v>
      </c>
      <c r="BU112" s="2100">
        <v>0.3</v>
      </c>
      <c r="BV112" s="2100">
        <v>0.3</v>
      </c>
      <c r="BW112" s="2100">
        <v>0.3</v>
      </c>
      <c r="BX112" s="2100">
        <v>0.3</v>
      </c>
      <c r="BY112" s="2161">
        <v>0.3</v>
      </c>
      <c r="BZ112" s="2100">
        <v>0.3</v>
      </c>
      <c r="CA112" s="2100">
        <v>0.3</v>
      </c>
      <c r="CB112" s="2101"/>
      <c r="CC112" s="2100"/>
      <c r="CD112" s="2100"/>
      <c r="CE112" s="2553"/>
      <c r="CF112"/>
    </row>
    <row r="113" spans="1:84" s="1485" customFormat="1">
      <c r="A113"/>
      <c r="B113" s="2080" t="str">
        <f t="shared" si="96"/>
        <v>3.1</v>
      </c>
      <c r="C113" s="2165" t="str">
        <f t="shared" si="78"/>
        <v>地域性への配慮、快適性の向上</v>
      </c>
      <c r="D113" s="2104">
        <f>IF(I$112=0,0,G113/I$112)</f>
        <v>0.5</v>
      </c>
      <c r="E113" s="2105">
        <f>IF(J$112=0,0,H113/J$112)</f>
        <v>0</v>
      </c>
      <c r="F113"/>
      <c r="G113" s="2105">
        <f t="shared" si="79"/>
        <v>0.5</v>
      </c>
      <c r="H113" s="2105">
        <f t="shared" si="80"/>
        <v>0</v>
      </c>
      <c r="I113" s="984"/>
      <c r="J113" s="2105"/>
      <c r="K113" s="2105">
        <f>IF(スコア!M113=0,0,1)</f>
        <v>1</v>
      </c>
      <c r="L113" s="2105">
        <f>IF(スコア!O113=0,0,1)</f>
        <v>0</v>
      </c>
      <c r="M113" s="2105">
        <f t="shared" si="81"/>
        <v>0.5</v>
      </c>
      <c r="N113" s="2105">
        <f t="shared" si="76"/>
        <v>0</v>
      </c>
      <c r="O113"/>
      <c r="P113" s="2106" t="str">
        <f t="shared" si="56"/>
        <v>3.1</v>
      </c>
      <c r="Q113" s="2106" t="str">
        <f t="shared" si="57"/>
        <v xml:space="preserve"> Q3 3</v>
      </c>
      <c r="R113" s="2107" t="str">
        <f t="shared" si="82"/>
        <v>地域性への配慮、快適性の向上</v>
      </c>
      <c r="S113" s="2166">
        <f t="shared" si="83"/>
        <v>0.5</v>
      </c>
      <c r="T113" s="2166">
        <f t="shared" si="84"/>
        <v>0.5</v>
      </c>
      <c r="U113" s="2166">
        <f t="shared" si="85"/>
        <v>0.5</v>
      </c>
      <c r="V113" s="2166">
        <f t="shared" si="86"/>
        <v>0.5</v>
      </c>
      <c r="W113" s="2166">
        <f t="shared" si="87"/>
        <v>0.5</v>
      </c>
      <c r="X113" s="2166">
        <f t="shared" si="88"/>
        <v>0.5</v>
      </c>
      <c r="Y113" s="2166">
        <f t="shared" si="89"/>
        <v>0.5</v>
      </c>
      <c r="Z113" s="2166">
        <f t="shared" si="90"/>
        <v>0.5</v>
      </c>
      <c r="AA113" s="2166">
        <f t="shared" si="91"/>
        <v>0.5</v>
      </c>
      <c r="AB113" s="2166">
        <f t="shared" si="92"/>
        <v>0.5</v>
      </c>
      <c r="AC113" s="2167">
        <f t="shared" si="93"/>
        <v>0</v>
      </c>
      <c r="AD113" s="2166">
        <f t="shared" si="94"/>
        <v>0</v>
      </c>
      <c r="AE113" s="2166">
        <f t="shared" si="95"/>
        <v>0</v>
      </c>
      <c r="AF113"/>
      <c r="AG113" s="2106" t="s">
        <v>1528</v>
      </c>
      <c r="AH113" s="2110" t="s">
        <v>174</v>
      </c>
      <c r="AI113" s="2165" t="s">
        <v>1529</v>
      </c>
      <c r="AJ113" s="2166">
        <v>0.5</v>
      </c>
      <c r="AK113" s="2166">
        <v>0.5</v>
      </c>
      <c r="AL113" s="2166">
        <v>0.5</v>
      </c>
      <c r="AM113" s="2166">
        <v>0.5</v>
      </c>
      <c r="AN113" s="2166">
        <v>0.5</v>
      </c>
      <c r="AO113" s="2166">
        <v>0.5</v>
      </c>
      <c r="AP113" s="2166">
        <v>0.5</v>
      </c>
      <c r="AQ113" s="2166">
        <v>0.5</v>
      </c>
      <c r="AR113" s="2166">
        <v>0.5</v>
      </c>
      <c r="AS113" s="2168">
        <v>0.5</v>
      </c>
      <c r="AT113" s="2169">
        <v>0</v>
      </c>
      <c r="AU113" s="2168">
        <v>0</v>
      </c>
      <c r="AV113" s="2168">
        <v>0</v>
      </c>
      <c r="AW113"/>
      <c r="AX113" s="2106" t="s">
        <v>1528</v>
      </c>
      <c r="AY113" s="2110" t="s">
        <v>174</v>
      </c>
      <c r="AZ113" s="2165" t="s">
        <v>1529</v>
      </c>
      <c r="BA113" s="2168">
        <v>0.5</v>
      </c>
      <c r="BB113" s="2168">
        <v>0.5</v>
      </c>
      <c r="BC113" s="2168">
        <v>0.5</v>
      </c>
      <c r="BD113" s="2168">
        <v>0.5</v>
      </c>
      <c r="BE113" s="2168">
        <v>0.5</v>
      </c>
      <c r="BF113" s="2168">
        <v>0.5</v>
      </c>
      <c r="BG113" s="2168">
        <v>0.5</v>
      </c>
      <c r="BH113" s="2168">
        <v>0.5</v>
      </c>
      <c r="BI113" s="2168">
        <v>0.5</v>
      </c>
      <c r="BJ113" s="2168">
        <v>0.5</v>
      </c>
      <c r="BK113" s="2169"/>
      <c r="BL113" s="2168"/>
      <c r="BM113" s="2168"/>
      <c r="BN113"/>
      <c r="BO113" s="2106" t="s">
        <v>1528</v>
      </c>
      <c r="BP113" s="2110" t="s">
        <v>174</v>
      </c>
      <c r="BQ113" s="2165" t="s">
        <v>1529</v>
      </c>
      <c r="BR113" s="2168">
        <v>0.5</v>
      </c>
      <c r="BS113" s="2168">
        <v>0.5</v>
      </c>
      <c r="BT113" s="2168">
        <v>0.5</v>
      </c>
      <c r="BU113" s="2168">
        <v>0.5</v>
      </c>
      <c r="BV113" s="2168">
        <v>0.5</v>
      </c>
      <c r="BW113" s="2168">
        <v>0.5</v>
      </c>
      <c r="BX113" s="2168">
        <v>0.5</v>
      </c>
      <c r="BY113" s="2168">
        <v>0.5</v>
      </c>
      <c r="BZ113" s="2168">
        <v>0.5</v>
      </c>
      <c r="CA113" s="2168">
        <v>0.5</v>
      </c>
      <c r="CB113" s="2169"/>
      <c r="CC113" s="2168"/>
      <c r="CD113" s="2168"/>
      <c r="CE113" s="2557"/>
      <c r="CF113"/>
    </row>
    <row r="114" spans="1:84" s="1485" customFormat="1">
      <c r="A114"/>
      <c r="B114" s="2080" t="str">
        <f t="shared" si="96"/>
        <v>3.2</v>
      </c>
      <c r="C114" s="2165" t="str">
        <f t="shared" si="78"/>
        <v>敷地内温熱環境の向上</v>
      </c>
      <c r="D114" s="2104">
        <f>IF(I$112=0,0,G114/I$112)</f>
        <v>0.5</v>
      </c>
      <c r="E114" s="2105">
        <f>IF(J$112=0,0,H114/J$112)</f>
        <v>0</v>
      </c>
      <c r="F114"/>
      <c r="G114" s="2105">
        <f t="shared" si="79"/>
        <v>0.5</v>
      </c>
      <c r="H114" s="2105">
        <f t="shared" si="80"/>
        <v>0</v>
      </c>
      <c r="I114" s="984"/>
      <c r="J114" s="2105"/>
      <c r="K114" s="2105">
        <f>IF(スコア!M114=0,0,1)</f>
        <v>1</v>
      </c>
      <c r="L114" s="2105">
        <f>IF(スコア!O114=0,0,1)</f>
        <v>0</v>
      </c>
      <c r="M114" s="2105">
        <f t="shared" si="81"/>
        <v>0.5</v>
      </c>
      <c r="N114" s="2105">
        <f t="shared" si="76"/>
        <v>0</v>
      </c>
      <c r="O114"/>
      <c r="P114" s="2106" t="str">
        <f t="shared" si="56"/>
        <v>3.2</v>
      </c>
      <c r="Q114" s="2106" t="str">
        <f t="shared" si="57"/>
        <v xml:space="preserve"> Q3 3</v>
      </c>
      <c r="R114" s="2107" t="str">
        <f t="shared" si="82"/>
        <v>敷地内温熱環境の向上</v>
      </c>
      <c r="S114" s="2166">
        <f t="shared" si="83"/>
        <v>0.5</v>
      </c>
      <c r="T114" s="2166">
        <f t="shared" si="84"/>
        <v>0.5</v>
      </c>
      <c r="U114" s="2166">
        <f t="shared" si="85"/>
        <v>0.5</v>
      </c>
      <c r="V114" s="2166">
        <f t="shared" si="86"/>
        <v>0.5</v>
      </c>
      <c r="W114" s="2166">
        <f t="shared" si="87"/>
        <v>0.5</v>
      </c>
      <c r="X114" s="2166">
        <f t="shared" si="88"/>
        <v>0.5</v>
      </c>
      <c r="Y114" s="2166">
        <f t="shared" si="89"/>
        <v>0.5</v>
      </c>
      <c r="Z114" s="2166">
        <f t="shared" si="90"/>
        <v>0.5</v>
      </c>
      <c r="AA114" s="2166">
        <f t="shared" si="91"/>
        <v>0.5</v>
      </c>
      <c r="AB114" s="2166">
        <f t="shared" si="92"/>
        <v>0.5</v>
      </c>
      <c r="AC114" s="2167">
        <f t="shared" si="93"/>
        <v>0</v>
      </c>
      <c r="AD114" s="2166">
        <f t="shared" si="94"/>
        <v>0</v>
      </c>
      <c r="AE114" s="2166">
        <f t="shared" si="95"/>
        <v>0</v>
      </c>
      <c r="AF114"/>
      <c r="AG114" s="2106" t="s">
        <v>1530</v>
      </c>
      <c r="AH114" s="2110" t="s">
        <v>174</v>
      </c>
      <c r="AI114" s="2165" t="s">
        <v>1531</v>
      </c>
      <c r="AJ114" s="2166">
        <v>0.5</v>
      </c>
      <c r="AK114" s="2166">
        <v>0.5</v>
      </c>
      <c r="AL114" s="2166">
        <v>0.5</v>
      </c>
      <c r="AM114" s="2166">
        <v>0.5</v>
      </c>
      <c r="AN114" s="2166">
        <v>0.5</v>
      </c>
      <c r="AO114" s="2166">
        <v>0.5</v>
      </c>
      <c r="AP114" s="2166">
        <v>0.5</v>
      </c>
      <c r="AQ114" s="2166">
        <v>0.5</v>
      </c>
      <c r="AR114" s="2166">
        <v>0.5</v>
      </c>
      <c r="AS114" s="2168">
        <v>0.5</v>
      </c>
      <c r="AT114" s="2169">
        <v>0</v>
      </c>
      <c r="AU114" s="2168">
        <v>0</v>
      </c>
      <c r="AV114" s="2168">
        <v>0</v>
      </c>
      <c r="AW114"/>
      <c r="AX114" s="2106" t="s">
        <v>1530</v>
      </c>
      <c r="AY114" s="2110" t="s">
        <v>174</v>
      </c>
      <c r="AZ114" s="2165" t="s">
        <v>1531</v>
      </c>
      <c r="BA114" s="2168">
        <v>0.5</v>
      </c>
      <c r="BB114" s="2168">
        <v>0.5</v>
      </c>
      <c r="BC114" s="2168">
        <v>0.5</v>
      </c>
      <c r="BD114" s="2168">
        <v>0.5</v>
      </c>
      <c r="BE114" s="2168">
        <v>0.5</v>
      </c>
      <c r="BF114" s="2168">
        <v>0.5</v>
      </c>
      <c r="BG114" s="2168">
        <v>0.5</v>
      </c>
      <c r="BH114" s="2168">
        <v>0.5</v>
      </c>
      <c r="BI114" s="2168">
        <v>0.5</v>
      </c>
      <c r="BJ114" s="2168">
        <v>0.5</v>
      </c>
      <c r="BK114" s="2169"/>
      <c r="BL114" s="2168"/>
      <c r="BM114" s="2168"/>
      <c r="BN114"/>
      <c r="BO114" s="2106" t="s">
        <v>1530</v>
      </c>
      <c r="BP114" s="2110" t="s">
        <v>174</v>
      </c>
      <c r="BQ114" s="2165" t="s">
        <v>1531</v>
      </c>
      <c r="BR114" s="2168">
        <v>0.5</v>
      </c>
      <c r="BS114" s="2168">
        <v>0.5</v>
      </c>
      <c r="BT114" s="2168">
        <v>0.5</v>
      </c>
      <c r="BU114" s="2168">
        <v>0.5</v>
      </c>
      <c r="BV114" s="2168">
        <v>0.5</v>
      </c>
      <c r="BW114" s="2168">
        <v>0.5</v>
      </c>
      <c r="BX114" s="2168">
        <v>0.5</v>
      </c>
      <c r="BY114" s="2168">
        <v>0.5</v>
      </c>
      <c r="BZ114" s="2168">
        <v>0.5</v>
      </c>
      <c r="CA114" s="2168">
        <v>0.5</v>
      </c>
      <c r="CB114" s="2169"/>
      <c r="CC114" s="2168"/>
      <c r="CD114" s="2168"/>
      <c r="CE114" s="2557"/>
      <c r="CF114"/>
    </row>
    <row r="115" spans="1:84" s="1485" customFormat="1" hidden="1">
      <c r="A115"/>
      <c r="B115" s="2080">
        <f t="shared" si="96"/>
        <v>0</v>
      </c>
      <c r="C115" s="2121">
        <f t="shared" si="78"/>
        <v>0</v>
      </c>
      <c r="D115" s="2091"/>
      <c r="E115" s="2092"/>
      <c r="F115"/>
      <c r="G115" s="2092">
        <f t="shared" si="79"/>
        <v>0</v>
      </c>
      <c r="H115" s="2092">
        <f t="shared" si="80"/>
        <v>0</v>
      </c>
      <c r="I115" s="2092"/>
      <c r="J115" s="2092"/>
      <c r="K115" s="2092"/>
      <c r="L115" s="2092"/>
      <c r="M115" s="2092">
        <f t="shared" si="81"/>
        <v>0</v>
      </c>
      <c r="N115" s="2092"/>
      <c r="O115"/>
      <c r="P115" s="2094">
        <f t="shared" si="56"/>
        <v>0</v>
      </c>
      <c r="Q115" s="2094" t="str">
        <f t="shared" si="57"/>
        <v xml:space="preserve"> Q</v>
      </c>
      <c r="R115" s="2095">
        <f t="shared" si="82"/>
        <v>0</v>
      </c>
      <c r="S115" s="2096">
        <f t="shared" si="83"/>
        <v>0</v>
      </c>
      <c r="T115" s="2096">
        <f t="shared" si="84"/>
        <v>0</v>
      </c>
      <c r="U115" s="2096">
        <f t="shared" si="85"/>
        <v>0</v>
      </c>
      <c r="V115" s="2096">
        <f t="shared" si="86"/>
        <v>0</v>
      </c>
      <c r="W115" s="2096">
        <f t="shared" si="87"/>
        <v>0</v>
      </c>
      <c r="X115" s="2096">
        <f t="shared" si="88"/>
        <v>0</v>
      </c>
      <c r="Y115" s="2096">
        <f t="shared" si="89"/>
        <v>0</v>
      </c>
      <c r="Z115" s="2160">
        <f t="shared" si="90"/>
        <v>0</v>
      </c>
      <c r="AA115" s="2096">
        <f t="shared" si="91"/>
        <v>0</v>
      </c>
      <c r="AB115" s="2096">
        <f t="shared" si="92"/>
        <v>0</v>
      </c>
      <c r="AC115" s="2098">
        <f t="shared" si="93"/>
        <v>0</v>
      </c>
      <c r="AD115" s="2096">
        <f t="shared" si="94"/>
        <v>0</v>
      </c>
      <c r="AE115" s="2096">
        <f t="shared" si="95"/>
        <v>0</v>
      </c>
      <c r="AF115"/>
      <c r="AG115" s="2094"/>
      <c r="AH115" s="2099" t="s">
        <v>1038</v>
      </c>
      <c r="AI115" s="2123"/>
      <c r="AJ115" s="2100">
        <v>0</v>
      </c>
      <c r="AK115" s="2100">
        <v>0</v>
      </c>
      <c r="AL115" s="2100">
        <v>0</v>
      </c>
      <c r="AM115" s="2100">
        <v>0</v>
      </c>
      <c r="AN115" s="2100">
        <v>0</v>
      </c>
      <c r="AO115" s="2100">
        <v>0</v>
      </c>
      <c r="AP115" s="2100">
        <v>0</v>
      </c>
      <c r="AQ115" s="2161">
        <v>0</v>
      </c>
      <c r="AR115" s="2100">
        <v>0</v>
      </c>
      <c r="AS115" s="2100">
        <v>0</v>
      </c>
      <c r="AT115" s="2101">
        <v>0</v>
      </c>
      <c r="AU115" s="2100">
        <v>0</v>
      </c>
      <c r="AV115" s="2100">
        <v>0</v>
      </c>
      <c r="AW115"/>
      <c r="AX115" s="2094"/>
      <c r="AY115" s="2099" t="s">
        <v>1038</v>
      </c>
      <c r="AZ115" s="2123"/>
      <c r="BA115" s="2100"/>
      <c r="BB115" s="2100"/>
      <c r="BC115" s="2100"/>
      <c r="BD115" s="2100"/>
      <c r="BE115" s="2100"/>
      <c r="BF115" s="2100"/>
      <c r="BG115" s="2100"/>
      <c r="BH115" s="2161"/>
      <c r="BI115" s="2100"/>
      <c r="BJ115" s="2100"/>
      <c r="BK115" s="2101"/>
      <c r="BL115" s="2100"/>
      <c r="BM115" s="2100"/>
      <c r="BN115"/>
      <c r="BO115" s="2094"/>
      <c r="BP115" s="2099" t="s">
        <v>1038</v>
      </c>
      <c r="BQ115" s="2123"/>
      <c r="BR115" s="2100"/>
      <c r="BS115" s="2100"/>
      <c r="BT115" s="2100"/>
      <c r="BU115" s="2100"/>
      <c r="BV115" s="2100"/>
      <c r="BW115" s="2100"/>
      <c r="BX115" s="2100"/>
      <c r="BY115" s="2161"/>
      <c r="BZ115" s="2100"/>
      <c r="CA115" s="2100"/>
      <c r="CB115" s="2101"/>
      <c r="CC115" s="2100"/>
      <c r="CD115" s="2100"/>
      <c r="CE115" s="2553"/>
      <c r="CF115"/>
    </row>
    <row r="116" spans="1:84" s="1485" customFormat="1" ht="14.25">
      <c r="A116"/>
      <c r="B116" s="2170" t="str">
        <f t="shared" si="96"/>
        <v>LR</v>
      </c>
      <c r="C116" s="2069" t="str">
        <f t="shared" si="78"/>
        <v>建築物の環境負荷低減性</v>
      </c>
      <c r="D116" s="2070"/>
      <c r="E116" s="2071"/>
      <c r="F116"/>
      <c r="G116" s="2071">
        <f t="shared" si="79"/>
        <v>0</v>
      </c>
      <c r="H116" s="2071">
        <f t="shared" si="80"/>
        <v>0</v>
      </c>
      <c r="I116" s="2071">
        <f>G117+G140+G159</f>
        <v>1</v>
      </c>
      <c r="J116" s="2071">
        <f>H117+H140+H159</f>
        <v>0</v>
      </c>
      <c r="K116" s="2071">
        <f>IF(スコア!Q116=0,0,1)</f>
        <v>1</v>
      </c>
      <c r="L116" s="2071">
        <f>IF(スコア!O116=0,0,1)</f>
        <v>0</v>
      </c>
      <c r="M116" s="2071">
        <f t="shared" si="81"/>
        <v>0</v>
      </c>
      <c r="N116" s="2071">
        <f t="shared" ref="N116:N151" si="98">(AC$7*AC116)+(AD$7*AD116)+(AE$7*AE116)</f>
        <v>0</v>
      </c>
      <c r="O116"/>
      <c r="P116" s="2074" t="str">
        <f t="shared" si="56"/>
        <v>LR</v>
      </c>
      <c r="Q116" s="2074" t="str">
        <f t="shared" si="57"/>
        <v xml:space="preserve"> </v>
      </c>
      <c r="R116" s="2171" t="str">
        <f t="shared" si="82"/>
        <v>建築物の環境負荷低減性</v>
      </c>
      <c r="S116" s="2172">
        <f t="shared" si="83"/>
        <v>0</v>
      </c>
      <c r="T116" s="2172">
        <f t="shared" si="84"/>
        <v>0</v>
      </c>
      <c r="U116" s="2172">
        <f t="shared" si="85"/>
        <v>0</v>
      </c>
      <c r="V116" s="2172">
        <f t="shared" si="86"/>
        <v>0</v>
      </c>
      <c r="W116" s="2172">
        <f t="shared" si="87"/>
        <v>0</v>
      </c>
      <c r="X116" s="2172">
        <f t="shared" si="88"/>
        <v>0</v>
      </c>
      <c r="Y116" s="2172">
        <f t="shared" si="89"/>
        <v>0</v>
      </c>
      <c r="Z116" s="2173">
        <f t="shared" si="90"/>
        <v>0</v>
      </c>
      <c r="AA116" s="2172">
        <f t="shared" si="91"/>
        <v>0</v>
      </c>
      <c r="AB116" s="2172">
        <f t="shared" si="92"/>
        <v>0</v>
      </c>
      <c r="AC116" s="2174">
        <f t="shared" si="93"/>
        <v>0</v>
      </c>
      <c r="AD116" s="2175">
        <f t="shared" si="94"/>
        <v>0</v>
      </c>
      <c r="AE116" s="2175">
        <f t="shared" si="95"/>
        <v>0</v>
      </c>
      <c r="AF116"/>
      <c r="AG116" s="2074" t="s">
        <v>1532</v>
      </c>
      <c r="AH116" s="2068" t="s">
        <v>175</v>
      </c>
      <c r="AI116" s="2069" t="s">
        <v>176</v>
      </c>
      <c r="AJ116" s="2076">
        <v>0</v>
      </c>
      <c r="AK116" s="2076">
        <v>0</v>
      </c>
      <c r="AL116" s="2076">
        <v>0</v>
      </c>
      <c r="AM116" s="2076">
        <v>0</v>
      </c>
      <c r="AN116" s="2076">
        <v>0</v>
      </c>
      <c r="AO116" s="2076">
        <v>0</v>
      </c>
      <c r="AP116" s="2076">
        <v>0</v>
      </c>
      <c r="AQ116" s="2077">
        <v>0</v>
      </c>
      <c r="AR116" s="2076">
        <v>0</v>
      </c>
      <c r="AS116" s="2076">
        <v>0</v>
      </c>
      <c r="AT116" s="2078">
        <v>0</v>
      </c>
      <c r="AU116" s="2079">
        <v>0</v>
      </c>
      <c r="AV116" s="2079">
        <v>0</v>
      </c>
      <c r="AW116"/>
      <c r="AX116" s="2074" t="s">
        <v>1533</v>
      </c>
      <c r="AY116" s="2068" t="s">
        <v>175</v>
      </c>
      <c r="AZ116" s="2069" t="s">
        <v>176</v>
      </c>
      <c r="BA116" s="2076"/>
      <c r="BB116" s="2076"/>
      <c r="BC116" s="2076"/>
      <c r="BD116" s="2076"/>
      <c r="BE116" s="2076"/>
      <c r="BF116" s="2076"/>
      <c r="BG116" s="2076"/>
      <c r="BH116" s="2077"/>
      <c r="BI116" s="2076"/>
      <c r="BJ116" s="2076"/>
      <c r="BK116" s="2078"/>
      <c r="BL116" s="2079"/>
      <c r="BM116" s="2079"/>
      <c r="BN116"/>
      <c r="BO116" s="2074" t="s">
        <v>1533</v>
      </c>
      <c r="BP116" s="2068" t="s">
        <v>175</v>
      </c>
      <c r="BQ116" s="2069" t="s">
        <v>176</v>
      </c>
      <c r="BR116" s="2076"/>
      <c r="BS116" s="2076"/>
      <c r="BT116" s="2076"/>
      <c r="BU116" s="2076"/>
      <c r="BV116" s="2076"/>
      <c r="BW116" s="2076"/>
      <c r="BX116" s="2076"/>
      <c r="BY116" s="2077"/>
      <c r="BZ116" s="2076"/>
      <c r="CA116" s="2076"/>
      <c r="CB116" s="2078"/>
      <c r="CC116" s="2079"/>
      <c r="CD116" s="2079"/>
      <c r="CE116" s="2551"/>
      <c r="CF116"/>
    </row>
    <row r="117" spans="1:84" s="1485" customFormat="1">
      <c r="A117"/>
      <c r="B117" s="2080" t="str">
        <f t="shared" si="96"/>
        <v>LR1</v>
      </c>
      <c r="C117" s="2084" t="str">
        <f t="shared" si="78"/>
        <v>エネルギー</v>
      </c>
      <c r="D117" s="2176">
        <f>IF(I$116=0,0,G117/I$116)</f>
        <v>0.4</v>
      </c>
      <c r="E117" s="2083">
        <f>IF(J$116=0,0,H117/J$116)</f>
        <v>0</v>
      </c>
      <c r="F117"/>
      <c r="G117" s="2083">
        <f t="shared" si="79"/>
        <v>0.4</v>
      </c>
      <c r="H117" s="2083">
        <f t="shared" si="80"/>
        <v>0</v>
      </c>
      <c r="I117" s="2083">
        <f>G118+G119+G124+G133</f>
        <v>1</v>
      </c>
      <c r="J117" s="2083">
        <f>H118+H119+H124+H133</f>
        <v>0</v>
      </c>
      <c r="K117" s="2083">
        <f>IF(スコア!Q117=0,0,1)</f>
        <v>1</v>
      </c>
      <c r="L117" s="2083">
        <f>IF(スコア!O117=0,0,1)</f>
        <v>0</v>
      </c>
      <c r="M117" s="2083">
        <f t="shared" si="81"/>
        <v>0.4</v>
      </c>
      <c r="N117" s="2083">
        <f t="shared" si="98"/>
        <v>0</v>
      </c>
      <c r="O117"/>
      <c r="P117" s="2080" t="str">
        <f t="shared" si="56"/>
        <v>LR1</v>
      </c>
      <c r="Q117" s="2080" t="str">
        <f t="shared" si="57"/>
        <v>LR</v>
      </c>
      <c r="R117" s="2084" t="str">
        <f t="shared" si="82"/>
        <v>エネルギー</v>
      </c>
      <c r="S117" s="2085">
        <f t="shared" si="83"/>
        <v>0.4</v>
      </c>
      <c r="T117" s="2085">
        <f t="shared" si="84"/>
        <v>0.4</v>
      </c>
      <c r="U117" s="2085">
        <f t="shared" si="85"/>
        <v>0.4</v>
      </c>
      <c r="V117" s="2085">
        <f t="shared" si="86"/>
        <v>0.4</v>
      </c>
      <c r="W117" s="2085">
        <f t="shared" si="87"/>
        <v>0.4</v>
      </c>
      <c r="X117" s="2085">
        <f t="shared" si="88"/>
        <v>0.4</v>
      </c>
      <c r="Y117" s="2085">
        <f t="shared" si="89"/>
        <v>0.4</v>
      </c>
      <c r="Z117" s="2085">
        <f t="shared" si="90"/>
        <v>0.4</v>
      </c>
      <c r="AA117" s="2085">
        <f t="shared" si="91"/>
        <v>0.4</v>
      </c>
      <c r="AB117" s="2085">
        <f t="shared" si="92"/>
        <v>0.4</v>
      </c>
      <c r="AC117" s="2086">
        <f t="shared" si="93"/>
        <v>0</v>
      </c>
      <c r="AD117" s="2085">
        <f t="shared" si="94"/>
        <v>0</v>
      </c>
      <c r="AE117" s="2085">
        <f t="shared" si="95"/>
        <v>0</v>
      </c>
      <c r="AF117"/>
      <c r="AG117" s="2080" t="s">
        <v>1534</v>
      </c>
      <c r="AH117" s="2087" t="s">
        <v>1535</v>
      </c>
      <c r="AI117" s="2084" t="s">
        <v>1536</v>
      </c>
      <c r="AJ117" s="2088">
        <v>0.4</v>
      </c>
      <c r="AK117" s="2088">
        <v>0.4</v>
      </c>
      <c r="AL117" s="2088">
        <v>0.4</v>
      </c>
      <c r="AM117" s="2088">
        <v>0.4</v>
      </c>
      <c r="AN117" s="2088">
        <v>0.4</v>
      </c>
      <c r="AO117" s="2088">
        <v>0.4</v>
      </c>
      <c r="AP117" s="2088">
        <v>0.4</v>
      </c>
      <c r="AQ117" s="2088">
        <v>0.4</v>
      </c>
      <c r="AR117" s="2088">
        <v>0.4</v>
      </c>
      <c r="AS117" s="2088">
        <v>0.4</v>
      </c>
      <c r="AT117" s="2089"/>
      <c r="AU117" s="2088"/>
      <c r="AV117" s="2088"/>
      <c r="AW117"/>
      <c r="AX117" s="2080" t="s">
        <v>1534</v>
      </c>
      <c r="AY117" s="2087" t="s">
        <v>1535</v>
      </c>
      <c r="AZ117" s="2084" t="s">
        <v>1536</v>
      </c>
      <c r="BA117" s="2088">
        <v>0.4</v>
      </c>
      <c r="BB117" s="2088">
        <v>0.4</v>
      </c>
      <c r="BC117" s="2088">
        <v>0.4</v>
      </c>
      <c r="BD117" s="2088">
        <v>0.4</v>
      </c>
      <c r="BE117" s="2088">
        <v>0.4</v>
      </c>
      <c r="BF117" s="2088">
        <v>0.4</v>
      </c>
      <c r="BG117" s="2088">
        <v>0.4</v>
      </c>
      <c r="BH117" s="2088">
        <v>0.4</v>
      </c>
      <c r="BI117" s="2088">
        <v>0.4</v>
      </c>
      <c r="BJ117" s="2088">
        <v>0.4</v>
      </c>
      <c r="BK117" s="2089"/>
      <c r="BL117" s="2088"/>
      <c r="BM117" s="2088"/>
      <c r="BN117"/>
      <c r="BO117" s="2080" t="s">
        <v>1534</v>
      </c>
      <c r="BP117" s="2087" t="s">
        <v>1535</v>
      </c>
      <c r="BQ117" s="2084" t="s">
        <v>1536</v>
      </c>
      <c r="BR117" s="2088">
        <v>0.4</v>
      </c>
      <c r="BS117" s="2088">
        <v>0.4</v>
      </c>
      <c r="BT117" s="2088">
        <v>0.4</v>
      </c>
      <c r="BU117" s="2088">
        <v>0.4</v>
      </c>
      <c r="BV117" s="2088">
        <v>0.4</v>
      </c>
      <c r="BW117" s="2088">
        <v>0.4</v>
      </c>
      <c r="BX117" s="2088">
        <v>0.4</v>
      </c>
      <c r="BY117" s="2088">
        <v>0.4</v>
      </c>
      <c r="BZ117" s="2088">
        <v>0.4</v>
      </c>
      <c r="CA117" s="2088">
        <v>0.4</v>
      </c>
      <c r="CB117" s="2089"/>
      <c r="CC117" s="2088"/>
      <c r="CD117" s="2088"/>
      <c r="CE117" s="2552"/>
      <c r="CF117"/>
    </row>
    <row r="118" spans="1:84" s="1485" customFormat="1">
      <c r="A118"/>
      <c r="B118" s="2080">
        <f t="shared" si="96"/>
        <v>1</v>
      </c>
      <c r="C118" s="2095" t="str">
        <f t="shared" si="78"/>
        <v>建物外皮の熱負荷抑制</v>
      </c>
      <c r="D118" s="2091">
        <f>IF(I$117=0,0,G118/I$117)</f>
        <v>0.2</v>
      </c>
      <c r="E118" s="2092">
        <f>IF(J$117=0,0,H118/J$117)</f>
        <v>0</v>
      </c>
      <c r="F118"/>
      <c r="G118" s="2092">
        <f t="shared" si="79"/>
        <v>0.2</v>
      </c>
      <c r="H118" s="2092">
        <f t="shared" si="80"/>
        <v>0</v>
      </c>
      <c r="I118" s="2092"/>
      <c r="J118" s="2092"/>
      <c r="K118" s="2092">
        <f>IF(スコア!M118=0,0,1)</f>
        <v>1</v>
      </c>
      <c r="L118" s="2092">
        <f>IF(スコア!O118=0,0,1)</f>
        <v>0</v>
      </c>
      <c r="M118" s="2092">
        <f t="shared" si="81"/>
        <v>0.2</v>
      </c>
      <c r="N118" s="2092">
        <f t="shared" si="98"/>
        <v>0</v>
      </c>
      <c r="O118"/>
      <c r="P118" s="2177">
        <f t="shared" si="56"/>
        <v>1</v>
      </c>
      <c r="Q118" s="2094" t="str">
        <f t="shared" si="57"/>
        <v>LR1</v>
      </c>
      <c r="R118" s="2095" t="str">
        <f t="shared" si="82"/>
        <v>建物外皮の熱負荷抑制</v>
      </c>
      <c r="S118" s="2153">
        <f t="shared" si="83"/>
        <v>0.2</v>
      </c>
      <c r="T118" s="2153">
        <f t="shared" si="84"/>
        <v>0.2</v>
      </c>
      <c r="U118" s="2153">
        <f t="shared" si="85"/>
        <v>0.2</v>
      </c>
      <c r="V118" s="2153">
        <f t="shared" si="86"/>
        <v>0.2</v>
      </c>
      <c r="W118" s="2153">
        <f t="shared" si="87"/>
        <v>0.2</v>
      </c>
      <c r="X118" s="2153">
        <f t="shared" si="88"/>
        <v>0.2</v>
      </c>
      <c r="Y118" s="2153">
        <f t="shared" si="89"/>
        <v>0.2</v>
      </c>
      <c r="Z118" s="2097">
        <f t="shared" si="90"/>
        <v>0.2</v>
      </c>
      <c r="AA118" s="2153">
        <f t="shared" si="91"/>
        <v>0</v>
      </c>
      <c r="AB118" s="2153">
        <f t="shared" si="92"/>
        <v>0.2</v>
      </c>
      <c r="AC118" s="2098">
        <f t="shared" si="93"/>
        <v>0</v>
      </c>
      <c r="AD118" s="2096">
        <f t="shared" si="94"/>
        <v>0</v>
      </c>
      <c r="AE118" s="2096">
        <f t="shared" si="95"/>
        <v>0</v>
      </c>
      <c r="AF118"/>
      <c r="AG118" s="2177">
        <v>1</v>
      </c>
      <c r="AH118" s="2099" t="s">
        <v>1901</v>
      </c>
      <c r="AI118" s="2095" t="s">
        <v>2377</v>
      </c>
      <c r="AJ118" s="2155">
        <v>0.2</v>
      </c>
      <c r="AK118" s="2155">
        <v>0.2</v>
      </c>
      <c r="AL118" s="2155">
        <v>0.2</v>
      </c>
      <c r="AM118" s="2155">
        <v>0.2</v>
      </c>
      <c r="AN118" s="2155">
        <v>0.2</v>
      </c>
      <c r="AO118" s="2155">
        <v>0.2</v>
      </c>
      <c r="AP118" s="2155">
        <v>0.2</v>
      </c>
      <c r="AQ118" s="2155">
        <v>0.2</v>
      </c>
      <c r="AR118" s="2155"/>
      <c r="AS118" s="2155">
        <v>0.2</v>
      </c>
      <c r="AT118" s="2101"/>
      <c r="AU118" s="2100"/>
      <c r="AV118" s="2100"/>
      <c r="AW118"/>
      <c r="AX118" s="2177">
        <v>1</v>
      </c>
      <c r="AY118" s="2099" t="s">
        <v>1901</v>
      </c>
      <c r="AZ118" s="2095" t="s">
        <v>2377</v>
      </c>
      <c r="BA118" s="2155">
        <v>0.2</v>
      </c>
      <c r="BB118" s="2155">
        <v>0.2</v>
      </c>
      <c r="BC118" s="2155">
        <v>0.2</v>
      </c>
      <c r="BD118" s="2155">
        <v>0.2</v>
      </c>
      <c r="BE118" s="2155">
        <v>0.2</v>
      </c>
      <c r="BF118" s="2155">
        <v>0.2</v>
      </c>
      <c r="BG118" s="2155">
        <v>0.2</v>
      </c>
      <c r="BH118" s="2155">
        <v>0.2</v>
      </c>
      <c r="BI118" s="2155"/>
      <c r="BJ118" s="2155">
        <v>0.2</v>
      </c>
      <c r="BK118" s="2101"/>
      <c r="BL118" s="2100"/>
      <c r="BM118" s="2100"/>
      <c r="BN118"/>
      <c r="BO118" s="2177">
        <v>1</v>
      </c>
      <c r="BP118" s="2099" t="s">
        <v>1901</v>
      </c>
      <c r="BQ118" s="2095" t="s">
        <v>2377</v>
      </c>
      <c r="BR118" s="2155">
        <v>0.2</v>
      </c>
      <c r="BS118" s="2155">
        <v>0.2</v>
      </c>
      <c r="BT118" s="2155">
        <v>0.2</v>
      </c>
      <c r="BU118" s="2155">
        <v>0.2</v>
      </c>
      <c r="BV118" s="2155">
        <v>0.2</v>
      </c>
      <c r="BW118" s="2155">
        <v>0.2</v>
      </c>
      <c r="BX118" s="2155">
        <v>0.2</v>
      </c>
      <c r="BY118" s="2155">
        <v>0.2</v>
      </c>
      <c r="BZ118" s="2155"/>
      <c r="CA118" s="2155">
        <v>0.2</v>
      </c>
      <c r="CB118" s="2101"/>
      <c r="CC118" s="2100"/>
      <c r="CD118" s="2100"/>
      <c r="CE118" s="2553"/>
      <c r="CF118"/>
    </row>
    <row r="119" spans="1:84" s="1485" customFormat="1">
      <c r="A119"/>
      <c r="B119" s="2080">
        <f t="shared" si="96"/>
        <v>2</v>
      </c>
      <c r="C119" s="2095" t="str">
        <f t="shared" si="78"/>
        <v>自然エネルギー利用</v>
      </c>
      <c r="D119" s="2091">
        <f>IF(I$117=0,0,G119/I$117)</f>
        <v>0.1</v>
      </c>
      <c r="E119" s="2092">
        <f>IF(J$117=0,0,H119/J$117)</f>
        <v>0</v>
      </c>
      <c r="F119"/>
      <c r="G119" s="2092">
        <f>K119*M119</f>
        <v>0.1</v>
      </c>
      <c r="H119" s="2092">
        <f t="shared" si="80"/>
        <v>0</v>
      </c>
      <c r="I119" s="2178">
        <f>SUM(G120:G121)</f>
        <v>1</v>
      </c>
      <c r="J119" s="2178">
        <f>SUM(H120:H121)</f>
        <v>0</v>
      </c>
      <c r="K119" s="2092">
        <f>IF(スコア!M119=0,0,1)</f>
        <v>1</v>
      </c>
      <c r="L119" s="2092">
        <f>IF(スコア!O119=0,0,1)</f>
        <v>0</v>
      </c>
      <c r="M119" s="2092">
        <f t="shared" si="81"/>
        <v>0.1</v>
      </c>
      <c r="N119" s="2092">
        <f t="shared" si="98"/>
        <v>0</v>
      </c>
      <c r="O119"/>
      <c r="P119" s="2094">
        <f t="shared" si="56"/>
        <v>2</v>
      </c>
      <c r="Q119" s="2094" t="str">
        <f t="shared" si="57"/>
        <v>LR1</v>
      </c>
      <c r="R119" s="2095" t="str">
        <f t="shared" si="82"/>
        <v>自然エネルギー利用</v>
      </c>
      <c r="S119" s="2153">
        <f t="shared" si="83"/>
        <v>0.1</v>
      </c>
      <c r="T119" s="2153">
        <f t="shared" si="84"/>
        <v>0.1</v>
      </c>
      <c r="U119" s="2153">
        <f t="shared" si="85"/>
        <v>0.1</v>
      </c>
      <c r="V119" s="2153">
        <f t="shared" si="86"/>
        <v>0.1</v>
      </c>
      <c r="W119" s="2153">
        <f t="shared" si="87"/>
        <v>0.1</v>
      </c>
      <c r="X119" s="2153">
        <f t="shared" si="88"/>
        <v>0.1</v>
      </c>
      <c r="Y119" s="2153">
        <f t="shared" si="89"/>
        <v>0.1</v>
      </c>
      <c r="Z119" s="2097">
        <f t="shared" si="90"/>
        <v>0.1</v>
      </c>
      <c r="AA119" s="2153">
        <f t="shared" si="91"/>
        <v>0.125</v>
      </c>
      <c r="AB119" s="2153">
        <f t="shared" si="92"/>
        <v>0.1</v>
      </c>
      <c r="AC119" s="2098">
        <f t="shared" si="93"/>
        <v>0</v>
      </c>
      <c r="AD119" s="2096">
        <f t="shared" si="94"/>
        <v>0</v>
      </c>
      <c r="AE119" s="2096">
        <f t="shared" si="95"/>
        <v>0</v>
      </c>
      <c r="AF119"/>
      <c r="AG119" s="2094">
        <v>2</v>
      </c>
      <c r="AH119" s="2099" t="s">
        <v>1901</v>
      </c>
      <c r="AI119" s="2095" t="s">
        <v>1378</v>
      </c>
      <c r="AJ119" s="2155">
        <v>0.1</v>
      </c>
      <c r="AK119" s="2155">
        <v>0.1</v>
      </c>
      <c r="AL119" s="2155">
        <v>0.1</v>
      </c>
      <c r="AM119" s="2155">
        <v>0.1</v>
      </c>
      <c r="AN119" s="2155">
        <v>0.1</v>
      </c>
      <c r="AO119" s="2155">
        <v>0.1</v>
      </c>
      <c r="AP119" s="2155">
        <v>0.1</v>
      </c>
      <c r="AQ119" s="2155">
        <v>0.1</v>
      </c>
      <c r="AR119" s="2329">
        <v>0.125</v>
      </c>
      <c r="AS119" s="2155">
        <v>0.1</v>
      </c>
      <c r="AT119" s="2101"/>
      <c r="AU119" s="2100"/>
      <c r="AV119" s="2100"/>
      <c r="AW119"/>
      <c r="AX119" s="2094">
        <v>2</v>
      </c>
      <c r="AY119" s="2099" t="s">
        <v>1901</v>
      </c>
      <c r="AZ119" s="2095" t="s">
        <v>1378</v>
      </c>
      <c r="BA119" s="2155">
        <v>0.1</v>
      </c>
      <c r="BB119" s="2155">
        <v>0.1</v>
      </c>
      <c r="BC119" s="2155">
        <v>0.1</v>
      </c>
      <c r="BD119" s="2155">
        <v>0.1</v>
      </c>
      <c r="BE119" s="2155">
        <v>0.1</v>
      </c>
      <c r="BF119" s="2155">
        <v>0.1</v>
      </c>
      <c r="BG119" s="2155">
        <v>0.1</v>
      </c>
      <c r="BH119" s="2155">
        <v>0.1</v>
      </c>
      <c r="BI119" s="2329">
        <v>0.125</v>
      </c>
      <c r="BJ119" s="2155">
        <v>0.1</v>
      </c>
      <c r="BK119" s="2101"/>
      <c r="BL119" s="2100"/>
      <c r="BM119" s="2100"/>
      <c r="BN119"/>
      <c r="BO119" s="2094">
        <v>2</v>
      </c>
      <c r="BP119" s="2099" t="s">
        <v>1901</v>
      </c>
      <c r="BQ119" s="2095" t="s">
        <v>1378</v>
      </c>
      <c r="BR119" s="2155">
        <v>0.1</v>
      </c>
      <c r="BS119" s="2155">
        <v>0.1</v>
      </c>
      <c r="BT119" s="2155">
        <v>0.1</v>
      </c>
      <c r="BU119" s="2155">
        <v>0.1</v>
      </c>
      <c r="BV119" s="2155">
        <v>0.1</v>
      </c>
      <c r="BW119" s="2155">
        <v>0.1</v>
      </c>
      <c r="BX119" s="2155">
        <v>0.1</v>
      </c>
      <c r="BY119" s="2155">
        <v>0.1</v>
      </c>
      <c r="BZ119" s="2329">
        <v>0.125</v>
      </c>
      <c r="CA119" s="2155">
        <v>0.1</v>
      </c>
      <c r="CB119" s="2101"/>
      <c r="CC119" s="2100"/>
      <c r="CD119" s="2100"/>
      <c r="CE119" s="2553"/>
      <c r="CF119"/>
    </row>
    <row r="120" spans="1:84" s="1485" customFormat="1" hidden="1">
      <c r="A120"/>
      <c r="B120" s="2080">
        <f t="shared" si="96"/>
        <v>0</v>
      </c>
      <c r="C120" s="2095">
        <f t="shared" si="78"/>
        <v>0</v>
      </c>
      <c r="D120" s="2104">
        <f>IF(I$119=0,0,G120/I$119)</f>
        <v>0</v>
      </c>
      <c r="E120" s="2104">
        <f>IF(J$119=0,0,H120/J$119)</f>
        <v>0</v>
      </c>
      <c r="F120"/>
      <c r="G120" s="2092">
        <f t="shared" si="79"/>
        <v>0</v>
      </c>
      <c r="H120" s="2092">
        <f t="shared" si="80"/>
        <v>0</v>
      </c>
      <c r="I120" s="2092"/>
      <c r="J120" s="2092"/>
      <c r="K120" s="2105">
        <f>IF(スコア!M120=0,0,1)</f>
        <v>1</v>
      </c>
      <c r="L120" s="2105">
        <f>IF(スコア!O120=0,0,1)</f>
        <v>0</v>
      </c>
      <c r="M120" s="2105">
        <f t="shared" si="81"/>
        <v>0</v>
      </c>
      <c r="N120" s="2105">
        <f t="shared" si="98"/>
        <v>0</v>
      </c>
      <c r="O120"/>
      <c r="P120" s="2094">
        <f t="shared" si="56"/>
        <v>0</v>
      </c>
      <c r="Q120" s="2094" t="str">
        <f t="shared" si="57"/>
        <v>LR</v>
      </c>
      <c r="R120" s="2095">
        <f t="shared" ref="R120:R155" si="99">IF($P$3=1,AZ120,IF($P$3=2,BQ120,AI120))</f>
        <v>0</v>
      </c>
      <c r="S120" s="2108">
        <f t="shared" si="83"/>
        <v>0</v>
      </c>
      <c r="T120" s="2108">
        <f t="shared" si="84"/>
        <v>0</v>
      </c>
      <c r="U120" s="2108">
        <f t="shared" si="85"/>
        <v>0</v>
      </c>
      <c r="V120" s="2108">
        <f t="shared" si="86"/>
        <v>0</v>
      </c>
      <c r="W120" s="2108">
        <f t="shared" si="87"/>
        <v>0</v>
      </c>
      <c r="X120" s="2108">
        <f t="shared" si="88"/>
        <v>0</v>
      </c>
      <c r="Y120" s="2108">
        <f t="shared" si="89"/>
        <v>0</v>
      </c>
      <c r="Z120" s="2117">
        <f t="shared" si="90"/>
        <v>0</v>
      </c>
      <c r="AA120" s="2108">
        <f t="shared" si="91"/>
        <v>0</v>
      </c>
      <c r="AB120" s="2108">
        <f t="shared" si="92"/>
        <v>0</v>
      </c>
      <c r="AC120" s="2098">
        <f t="shared" ref="AC120:AC155" si="100">IF($P$3=1,BK120,IF($P$3=2,CB120,AT120))</f>
        <v>0</v>
      </c>
      <c r="AD120" s="2096">
        <f t="shared" ref="AD120:AD155" si="101">IF($P$3=1,BL120,IF($P$3=2,CC120,AU120))</f>
        <v>0</v>
      </c>
      <c r="AE120" s="2096">
        <f t="shared" ref="AE120:AE155" si="102">IF($P$3=1,BM120,IF($P$3=2,CD120,AV120))</f>
        <v>0</v>
      </c>
      <c r="AF120"/>
      <c r="AG120" s="2094"/>
      <c r="AH120" s="2099" t="s">
        <v>177</v>
      </c>
      <c r="AI120" s="2095" t="s">
        <v>1379</v>
      </c>
      <c r="AJ120" s="2155"/>
      <c r="AK120" s="2155"/>
      <c r="AL120" s="2155"/>
      <c r="AM120" s="2155"/>
      <c r="AN120" s="2155"/>
      <c r="AO120" s="2155"/>
      <c r="AP120" s="2155"/>
      <c r="AQ120" s="2155"/>
      <c r="AR120" s="2155"/>
      <c r="AS120" s="2155"/>
      <c r="AT120" s="2101"/>
      <c r="AU120" s="2100"/>
      <c r="AV120" s="2100"/>
      <c r="AW120"/>
      <c r="AX120" s="2094"/>
      <c r="AY120" s="2099" t="s">
        <v>177</v>
      </c>
      <c r="AZ120" s="2095" t="s">
        <v>1104</v>
      </c>
      <c r="BA120" s="2155"/>
      <c r="BB120" s="2155"/>
      <c r="BC120" s="2155"/>
      <c r="BD120" s="2155"/>
      <c r="BE120" s="2155"/>
      <c r="BF120" s="2155"/>
      <c r="BG120" s="2155"/>
      <c r="BH120" s="2155"/>
      <c r="BI120" s="2155"/>
      <c r="BJ120" s="2155"/>
      <c r="BK120" s="2101"/>
      <c r="BL120" s="2100"/>
      <c r="BM120" s="2100"/>
      <c r="BN120"/>
      <c r="BO120" s="2094"/>
      <c r="BP120" s="2099" t="s">
        <v>177</v>
      </c>
      <c r="BQ120" s="2095"/>
      <c r="BR120" s="2155"/>
      <c r="BS120" s="2155"/>
      <c r="BT120" s="2155"/>
      <c r="BU120" s="2155"/>
      <c r="BV120" s="2155"/>
      <c r="BW120" s="2155"/>
      <c r="BX120" s="2155"/>
      <c r="BY120" s="2155"/>
      <c r="BZ120" s="2155"/>
      <c r="CA120" s="2155"/>
      <c r="CB120" s="2101"/>
      <c r="CC120" s="2100"/>
      <c r="CD120" s="2100"/>
      <c r="CE120" s="2553"/>
      <c r="CF120"/>
    </row>
    <row r="121" spans="1:84" s="1485" customFormat="1" hidden="1">
      <c r="A121"/>
      <c r="B121" s="2080">
        <f t="shared" si="96"/>
        <v>0</v>
      </c>
      <c r="C121" s="2095" t="str">
        <f t="shared" si="78"/>
        <v>定性評価</v>
      </c>
      <c r="D121" s="2104">
        <f>IF(I$119=0,0,G121/I$119)</f>
        <v>1</v>
      </c>
      <c r="E121" s="2104">
        <f>IF(J$119=0,0,H121/J$119)</f>
        <v>0</v>
      </c>
      <c r="F121"/>
      <c r="G121" s="2092">
        <f t="shared" si="79"/>
        <v>1</v>
      </c>
      <c r="H121" s="2092">
        <f t="shared" si="80"/>
        <v>0</v>
      </c>
      <c r="I121" s="2178">
        <f>SUM(G122:G123)</f>
        <v>0</v>
      </c>
      <c r="J121" s="2178">
        <f>SUM(H122:H123)</f>
        <v>0</v>
      </c>
      <c r="K121" s="2105">
        <f>IF(スコア!M121=0,0,1)</f>
        <v>1</v>
      </c>
      <c r="L121" s="2105">
        <f>IF(スコア!O121=0,0,1)</f>
        <v>0</v>
      </c>
      <c r="M121" s="2105">
        <f t="shared" si="81"/>
        <v>1</v>
      </c>
      <c r="N121" s="2105">
        <f t="shared" si="98"/>
        <v>0</v>
      </c>
      <c r="O121"/>
      <c r="P121" s="2094">
        <f t="shared" si="56"/>
        <v>0</v>
      </c>
      <c r="Q121" s="2094" t="str">
        <f t="shared" si="57"/>
        <v>LR</v>
      </c>
      <c r="R121" s="2095" t="str">
        <f t="shared" si="99"/>
        <v>定性評価</v>
      </c>
      <c r="S121" s="2108">
        <f t="shared" si="83"/>
        <v>1</v>
      </c>
      <c r="T121" s="2108">
        <f t="shared" si="84"/>
        <v>1</v>
      </c>
      <c r="U121" s="2108">
        <f t="shared" si="85"/>
        <v>1</v>
      </c>
      <c r="V121" s="2108">
        <f t="shared" si="86"/>
        <v>1</v>
      </c>
      <c r="W121" s="2108">
        <f t="shared" si="87"/>
        <v>1</v>
      </c>
      <c r="X121" s="2108">
        <f t="shared" si="88"/>
        <v>1</v>
      </c>
      <c r="Y121" s="2108">
        <f t="shared" si="89"/>
        <v>1</v>
      </c>
      <c r="Z121" s="2117">
        <f t="shared" si="90"/>
        <v>1</v>
      </c>
      <c r="AA121" s="2108">
        <f t="shared" si="91"/>
        <v>1</v>
      </c>
      <c r="AB121" s="2108">
        <f t="shared" si="92"/>
        <v>1</v>
      </c>
      <c r="AC121" s="2098">
        <f t="shared" si="100"/>
        <v>0</v>
      </c>
      <c r="AD121" s="2096">
        <f t="shared" si="101"/>
        <v>0</v>
      </c>
      <c r="AE121" s="2096">
        <f t="shared" si="102"/>
        <v>0</v>
      </c>
      <c r="AF121"/>
      <c r="AG121" s="2094"/>
      <c r="AH121" s="2099" t="s">
        <v>177</v>
      </c>
      <c r="AI121" s="2095" t="s">
        <v>1380</v>
      </c>
      <c r="AJ121" s="2155"/>
      <c r="AK121" s="2155"/>
      <c r="AL121" s="2155"/>
      <c r="AM121" s="2155"/>
      <c r="AN121" s="2155"/>
      <c r="AO121" s="2155"/>
      <c r="AP121" s="2155"/>
      <c r="AQ121" s="2155"/>
      <c r="AR121" s="2155"/>
      <c r="AS121" s="2155"/>
      <c r="AT121" s="2101"/>
      <c r="AU121" s="2100"/>
      <c r="AV121" s="2100"/>
      <c r="AW121"/>
      <c r="AX121" s="2094"/>
      <c r="AY121" s="2099" t="s">
        <v>177</v>
      </c>
      <c r="AZ121" s="2095" t="s">
        <v>1103</v>
      </c>
      <c r="BA121" s="2155">
        <v>1</v>
      </c>
      <c r="BB121" s="2155">
        <v>1</v>
      </c>
      <c r="BC121" s="2155">
        <v>1</v>
      </c>
      <c r="BD121" s="2155">
        <v>1</v>
      </c>
      <c r="BE121" s="2155">
        <v>1</v>
      </c>
      <c r="BF121" s="2155">
        <v>1</v>
      </c>
      <c r="BG121" s="2155">
        <v>1</v>
      </c>
      <c r="BH121" s="2155">
        <v>1</v>
      </c>
      <c r="BI121" s="2155">
        <v>1</v>
      </c>
      <c r="BJ121" s="2155">
        <v>1</v>
      </c>
      <c r="BK121" s="2101"/>
      <c r="BL121" s="2100"/>
      <c r="BM121" s="2100"/>
      <c r="BN121"/>
      <c r="BO121" s="2094"/>
      <c r="BP121" s="2099" t="s">
        <v>177</v>
      </c>
      <c r="BQ121" s="2095" t="s">
        <v>1103</v>
      </c>
      <c r="BR121" s="2155">
        <v>1</v>
      </c>
      <c r="BS121" s="2155">
        <v>1</v>
      </c>
      <c r="BT121" s="2155">
        <v>1</v>
      </c>
      <c r="BU121" s="2155">
        <v>1</v>
      </c>
      <c r="BV121" s="2155">
        <v>1</v>
      </c>
      <c r="BW121" s="2155">
        <v>1</v>
      </c>
      <c r="BX121" s="2155">
        <v>1</v>
      </c>
      <c r="BY121" s="2155">
        <v>1</v>
      </c>
      <c r="BZ121" s="2155">
        <v>1</v>
      </c>
      <c r="CA121" s="2155">
        <v>1</v>
      </c>
      <c r="CB121" s="2101"/>
      <c r="CC121" s="2100"/>
      <c r="CD121" s="2100"/>
      <c r="CE121" s="2553"/>
      <c r="CF121"/>
    </row>
    <row r="122" spans="1:84" hidden="1">
      <c r="B122" s="2080" t="str">
        <f t="shared" si="96"/>
        <v>2.1</v>
      </c>
      <c r="C122" s="2107" t="str">
        <f t="shared" si="78"/>
        <v>自然エネルギーの直接利用</v>
      </c>
      <c r="D122" s="2104">
        <f>IF(I$121=0,0,G122/I$121)</f>
        <v>0</v>
      </c>
      <c r="E122" s="2104">
        <f>IF(J$121=0,0,H122/J$121)</f>
        <v>0</v>
      </c>
      <c r="G122" s="2105">
        <f t="shared" si="79"/>
        <v>0</v>
      </c>
      <c r="H122" s="2105">
        <f t="shared" si="80"/>
        <v>0</v>
      </c>
      <c r="I122" s="2105"/>
      <c r="J122" s="2105"/>
      <c r="K122" s="2105">
        <f>IF(スコア!M122=0,0,1)</f>
        <v>0</v>
      </c>
      <c r="L122" s="2105">
        <f>IF(スコア!O122=0,0,1)</f>
        <v>0</v>
      </c>
      <c r="M122" s="2105">
        <f t="shared" si="81"/>
        <v>0</v>
      </c>
      <c r="N122" s="2105">
        <f t="shared" si="98"/>
        <v>0</v>
      </c>
      <c r="P122" s="2106" t="str">
        <f t="shared" si="56"/>
        <v>2.1</v>
      </c>
      <c r="Q122" s="2106" t="str">
        <f t="shared" si="57"/>
        <v>LR1 2</v>
      </c>
      <c r="R122" s="2107" t="str">
        <f t="shared" si="99"/>
        <v>自然エネルギーの直接利用</v>
      </c>
      <c r="S122" s="2108">
        <f t="shared" ref="S122:AB123" si="103">IF($P$3=1,BA122,IF($P$3=2,BR122,AJ122))</f>
        <v>0</v>
      </c>
      <c r="T122" s="2108">
        <f t="shared" si="103"/>
        <v>0</v>
      </c>
      <c r="U122" s="2108">
        <f t="shared" si="103"/>
        <v>0</v>
      </c>
      <c r="V122" s="2108">
        <f t="shared" si="103"/>
        <v>0</v>
      </c>
      <c r="W122" s="2108">
        <f t="shared" si="103"/>
        <v>0</v>
      </c>
      <c r="X122" s="2108">
        <f t="shared" si="103"/>
        <v>0</v>
      </c>
      <c r="Y122" s="2108">
        <f t="shared" si="103"/>
        <v>0</v>
      </c>
      <c r="Z122" s="2117">
        <f t="shared" si="103"/>
        <v>0</v>
      </c>
      <c r="AA122" s="2108">
        <f t="shared" si="103"/>
        <v>0</v>
      </c>
      <c r="AB122" s="2108">
        <f t="shared" si="103"/>
        <v>0</v>
      </c>
      <c r="AC122" s="2167">
        <f t="shared" si="100"/>
        <v>0</v>
      </c>
      <c r="AD122" s="2166">
        <f t="shared" si="101"/>
        <v>0</v>
      </c>
      <c r="AE122" s="2166">
        <f t="shared" si="102"/>
        <v>0</v>
      </c>
      <c r="AG122" s="2106" t="s">
        <v>1537</v>
      </c>
      <c r="AH122" s="2110" t="s">
        <v>178</v>
      </c>
      <c r="AI122" s="2107" t="s">
        <v>1381</v>
      </c>
      <c r="AJ122" s="2113"/>
      <c r="AK122" s="2113"/>
      <c r="AL122" s="2113"/>
      <c r="AM122" s="2113"/>
      <c r="AN122" s="2113"/>
      <c r="AO122" s="2113"/>
      <c r="AP122" s="2113"/>
      <c r="AQ122" s="2113"/>
      <c r="AR122" s="2113"/>
      <c r="AS122" s="2113"/>
      <c r="AT122" s="2169"/>
      <c r="AU122" s="2168"/>
      <c r="AV122" s="2168"/>
      <c r="AX122" s="2106" t="s">
        <v>1537</v>
      </c>
      <c r="AY122" s="2110" t="s">
        <v>178</v>
      </c>
      <c r="AZ122" s="2107" t="s">
        <v>1381</v>
      </c>
      <c r="BA122" s="2113"/>
      <c r="BB122" s="2113"/>
      <c r="BC122" s="2113"/>
      <c r="BD122" s="2113"/>
      <c r="BE122" s="2113"/>
      <c r="BF122" s="2113"/>
      <c r="BG122" s="2113"/>
      <c r="BH122" s="2113"/>
      <c r="BI122" s="2113"/>
      <c r="BJ122" s="2113"/>
      <c r="BK122" s="2169"/>
      <c r="BL122" s="2168"/>
      <c r="BM122" s="2168"/>
      <c r="BO122" s="2106" t="s">
        <v>1537</v>
      </c>
      <c r="BP122" s="2110" t="s">
        <v>178</v>
      </c>
      <c r="BQ122" s="2107" t="s">
        <v>1381</v>
      </c>
      <c r="BR122" s="2113"/>
      <c r="BS122" s="2113"/>
      <c r="BT122" s="2113"/>
      <c r="BU122" s="2113"/>
      <c r="BV122" s="2113"/>
      <c r="BW122" s="2113"/>
      <c r="BX122" s="2113"/>
      <c r="BY122" s="2113"/>
      <c r="BZ122" s="2113"/>
      <c r="CA122" s="2113"/>
      <c r="CB122" s="2169"/>
      <c r="CC122" s="2168"/>
      <c r="CD122" s="2168"/>
      <c r="CE122" s="2557"/>
    </row>
    <row r="123" spans="1:84" hidden="1">
      <c r="B123" s="2080" t="str">
        <f t="shared" si="96"/>
        <v>2.2</v>
      </c>
      <c r="C123" s="2107" t="str">
        <f t="shared" si="78"/>
        <v>自然エネルギーの変換利用</v>
      </c>
      <c r="D123" s="2104">
        <f>IF(I$121=0,0,G123/I$121)</f>
        <v>0</v>
      </c>
      <c r="E123" s="2104">
        <f>IF(J$121=0,0,H123/J$121)</f>
        <v>0</v>
      </c>
      <c r="G123" s="2105">
        <f t="shared" si="79"/>
        <v>0</v>
      </c>
      <c r="H123" s="2105">
        <f t="shared" si="80"/>
        <v>0</v>
      </c>
      <c r="I123" s="2105"/>
      <c r="J123" s="2105"/>
      <c r="K123" s="2105">
        <f>IF(スコア!M123=0,0,1)</f>
        <v>0</v>
      </c>
      <c r="L123" s="2105">
        <f>IF(スコア!O123=0,0,1)</f>
        <v>0</v>
      </c>
      <c r="M123" s="2105">
        <f t="shared" si="81"/>
        <v>0</v>
      </c>
      <c r="N123" s="2105">
        <f t="shared" si="98"/>
        <v>0</v>
      </c>
      <c r="P123" s="2106" t="str">
        <f t="shared" si="56"/>
        <v>2.2</v>
      </c>
      <c r="Q123" s="2106" t="str">
        <f t="shared" si="57"/>
        <v>LR1 2</v>
      </c>
      <c r="R123" s="2107" t="str">
        <f t="shared" si="99"/>
        <v>自然エネルギーの変換利用</v>
      </c>
      <c r="S123" s="2108">
        <f t="shared" si="103"/>
        <v>0</v>
      </c>
      <c r="T123" s="2108">
        <f t="shared" si="103"/>
        <v>0</v>
      </c>
      <c r="U123" s="2108">
        <f t="shared" si="103"/>
        <v>0</v>
      </c>
      <c r="V123" s="2108">
        <f t="shared" si="103"/>
        <v>0</v>
      </c>
      <c r="W123" s="2108">
        <f t="shared" si="103"/>
        <v>0</v>
      </c>
      <c r="X123" s="2108">
        <f t="shared" si="103"/>
        <v>0</v>
      </c>
      <c r="Y123" s="2108">
        <f t="shared" si="103"/>
        <v>0</v>
      </c>
      <c r="Z123" s="2117">
        <f t="shared" si="103"/>
        <v>0</v>
      </c>
      <c r="AA123" s="2108">
        <f t="shared" si="103"/>
        <v>0</v>
      </c>
      <c r="AB123" s="2108">
        <f t="shared" si="103"/>
        <v>0</v>
      </c>
      <c r="AC123" s="2167">
        <f t="shared" si="100"/>
        <v>0</v>
      </c>
      <c r="AD123" s="2166">
        <f t="shared" si="101"/>
        <v>0</v>
      </c>
      <c r="AE123" s="2166">
        <f t="shared" si="102"/>
        <v>0</v>
      </c>
      <c r="AG123" s="2106" t="s">
        <v>1538</v>
      </c>
      <c r="AH123" s="2110" t="s">
        <v>178</v>
      </c>
      <c r="AI123" s="2107" t="s">
        <v>1382</v>
      </c>
      <c r="AJ123" s="2113"/>
      <c r="AK123" s="2113"/>
      <c r="AL123" s="2113"/>
      <c r="AM123" s="2113"/>
      <c r="AN123" s="2113"/>
      <c r="AO123" s="2113"/>
      <c r="AP123" s="2113"/>
      <c r="AQ123" s="2113"/>
      <c r="AR123" s="2113"/>
      <c r="AS123" s="2113"/>
      <c r="AT123" s="2169"/>
      <c r="AU123" s="2168"/>
      <c r="AV123" s="2168"/>
      <c r="AX123" s="2106" t="s">
        <v>1538</v>
      </c>
      <c r="AY123" s="2110" t="s">
        <v>178</v>
      </c>
      <c r="AZ123" s="2107" t="s">
        <v>1382</v>
      </c>
      <c r="BA123" s="2113"/>
      <c r="BB123" s="2113"/>
      <c r="BC123" s="2113"/>
      <c r="BD123" s="2113"/>
      <c r="BE123" s="2113"/>
      <c r="BF123" s="2113"/>
      <c r="BG123" s="2113"/>
      <c r="BH123" s="2113"/>
      <c r="BI123" s="2113"/>
      <c r="BJ123" s="2113"/>
      <c r="BK123" s="2169"/>
      <c r="BL123" s="2168"/>
      <c r="BM123" s="2168"/>
      <c r="BO123" s="2106" t="s">
        <v>1538</v>
      </c>
      <c r="BP123" s="2110" t="s">
        <v>178</v>
      </c>
      <c r="BQ123" s="2107" t="s">
        <v>1382</v>
      </c>
      <c r="BR123" s="2113"/>
      <c r="BS123" s="2113"/>
      <c r="BT123" s="2113"/>
      <c r="BU123" s="2113"/>
      <c r="BV123" s="2113"/>
      <c r="BW123" s="2113"/>
      <c r="BX123" s="2113"/>
      <c r="BY123" s="2113"/>
      <c r="BZ123" s="2113"/>
      <c r="CA123" s="2113"/>
      <c r="CB123" s="2169"/>
      <c r="CC123" s="2168"/>
      <c r="CD123" s="2168"/>
      <c r="CE123" s="2557"/>
    </row>
    <row r="124" spans="1:84" s="1485" customFormat="1">
      <c r="A124"/>
      <c r="B124" s="2080">
        <f t="shared" si="96"/>
        <v>3</v>
      </c>
      <c r="C124" s="2095" t="str">
        <f t="shared" si="78"/>
        <v>設備システムの高効率化</v>
      </c>
      <c r="D124" s="2091">
        <f>IF(I$117=0,0,G124/I$117)</f>
        <v>0.5</v>
      </c>
      <c r="E124" s="2092">
        <f>IF(J$117=0,0,H124/J$117)</f>
        <v>0</v>
      </c>
      <c r="F124"/>
      <c r="G124" s="2092">
        <f t="shared" si="79"/>
        <v>0.5</v>
      </c>
      <c r="H124" s="2092">
        <f t="shared" si="80"/>
        <v>0</v>
      </c>
      <c r="I124" s="2178">
        <f>SUM(G125:G126)</f>
        <v>1</v>
      </c>
      <c r="J124" s="2178">
        <f>SUM(H125:H126)</f>
        <v>0</v>
      </c>
      <c r="K124" s="2092">
        <f>IF(スコア!M124=0,0,1)</f>
        <v>1</v>
      </c>
      <c r="L124" s="2092">
        <f>IF(スコア!O124=0,0,1)</f>
        <v>0</v>
      </c>
      <c r="M124" s="2092">
        <f t="shared" si="81"/>
        <v>0.5</v>
      </c>
      <c r="N124" s="2092">
        <f t="shared" si="98"/>
        <v>0</v>
      </c>
      <c r="O124"/>
      <c r="P124" s="2094">
        <f t="shared" si="56"/>
        <v>3</v>
      </c>
      <c r="Q124" s="2094" t="str">
        <f t="shared" si="57"/>
        <v>LR1</v>
      </c>
      <c r="R124" s="2095" t="str">
        <f t="shared" si="99"/>
        <v>設備システムの高効率化</v>
      </c>
      <c r="S124" s="2153">
        <f t="shared" ref="S124:S159" si="104">IF($P$3=1,BA124,IF($P$3=2,BR124,AJ124))</f>
        <v>0.5</v>
      </c>
      <c r="T124" s="2153">
        <f t="shared" ref="T124:T159" si="105">IF($P$3=1,BB124,IF($P$3=2,BS124,AK124))</f>
        <v>0.5</v>
      </c>
      <c r="U124" s="2153">
        <f t="shared" ref="U124:U159" si="106">IF($P$3=1,BC124,IF($P$3=2,BT124,AL124))</f>
        <v>0.5</v>
      </c>
      <c r="V124" s="2153">
        <f t="shared" ref="V124:V159" si="107">IF($P$3=1,BD124,IF($P$3=2,BU124,AM124))</f>
        <v>0.5</v>
      </c>
      <c r="W124" s="2153">
        <f t="shared" ref="W124:W159" si="108">IF($P$3=1,BE124,IF($P$3=2,BV124,AN124))</f>
        <v>0.5</v>
      </c>
      <c r="X124" s="2153">
        <f t="shared" ref="X124:X159" si="109">IF($P$3=1,BF124,IF($P$3=2,BW124,AO124))</f>
        <v>0.5</v>
      </c>
      <c r="Y124" s="2153">
        <f t="shared" ref="Y124:Y159" si="110">IF($P$3=1,BG124,IF($P$3=2,BX124,AP124))</f>
        <v>0.5</v>
      </c>
      <c r="Z124" s="2097">
        <f t="shared" ref="Z124:Z159" si="111">IF($P$3=1,BH124,IF($P$3=2,BY124,AQ124))</f>
        <v>0.5</v>
      </c>
      <c r="AA124" s="2153">
        <f t="shared" ref="AA124:AA159" si="112">IF($P$3=1,BI124,IF($P$3=2,BZ124,AR124))</f>
        <v>0.625</v>
      </c>
      <c r="AB124" s="2153">
        <f t="shared" ref="AB124:AB159" si="113">IF($P$3=1,BJ124,IF($P$3=2,CA124,AS124))</f>
        <v>0.5</v>
      </c>
      <c r="AC124" s="2098">
        <f t="shared" si="100"/>
        <v>0</v>
      </c>
      <c r="AD124" s="2096">
        <f t="shared" si="101"/>
        <v>0</v>
      </c>
      <c r="AE124" s="2096">
        <f t="shared" si="102"/>
        <v>0</v>
      </c>
      <c r="AF124"/>
      <c r="AG124" s="2094">
        <v>3</v>
      </c>
      <c r="AH124" s="2099" t="s">
        <v>1901</v>
      </c>
      <c r="AI124" s="2095" t="s">
        <v>1383</v>
      </c>
      <c r="AJ124" s="2155">
        <v>0.5</v>
      </c>
      <c r="AK124" s="2155">
        <v>0.5</v>
      </c>
      <c r="AL124" s="2155">
        <v>0.5</v>
      </c>
      <c r="AM124" s="2155">
        <v>0.5</v>
      </c>
      <c r="AN124" s="2155">
        <v>0.5</v>
      </c>
      <c r="AO124" s="2155">
        <v>0.5</v>
      </c>
      <c r="AP124" s="2155">
        <v>0.5</v>
      </c>
      <c r="AQ124" s="2155">
        <v>0.5</v>
      </c>
      <c r="AR124" s="2329">
        <v>0.625</v>
      </c>
      <c r="AS124" s="2155">
        <v>0.5</v>
      </c>
      <c r="AT124" s="2101"/>
      <c r="AU124" s="2100"/>
      <c r="AV124" s="2100"/>
      <c r="AW124"/>
      <c r="AX124" s="2094">
        <v>3</v>
      </c>
      <c r="AY124" s="2099" t="s">
        <v>1901</v>
      </c>
      <c r="AZ124" s="2095" t="s">
        <v>1383</v>
      </c>
      <c r="BA124" s="2155">
        <v>0.5</v>
      </c>
      <c r="BB124" s="2155">
        <v>0.5</v>
      </c>
      <c r="BC124" s="2155">
        <v>0.5</v>
      </c>
      <c r="BD124" s="2155">
        <v>0.5</v>
      </c>
      <c r="BE124" s="2155">
        <v>0.5</v>
      </c>
      <c r="BF124" s="2155">
        <v>0.5</v>
      </c>
      <c r="BG124" s="2155">
        <v>0.5</v>
      </c>
      <c r="BH124" s="2155">
        <v>0.5</v>
      </c>
      <c r="BI124" s="2329">
        <v>0.625</v>
      </c>
      <c r="BJ124" s="2155">
        <v>0.5</v>
      </c>
      <c r="BK124" s="2101"/>
      <c r="BL124" s="2100"/>
      <c r="BM124" s="2100"/>
      <c r="BN124"/>
      <c r="BO124" s="2094">
        <v>3</v>
      </c>
      <c r="BP124" s="2099" t="s">
        <v>1901</v>
      </c>
      <c r="BQ124" s="2095" t="s">
        <v>1383</v>
      </c>
      <c r="BR124" s="2155">
        <v>0.5</v>
      </c>
      <c r="BS124" s="2155">
        <v>0.5</v>
      </c>
      <c r="BT124" s="2155">
        <v>0.5</v>
      </c>
      <c r="BU124" s="2155">
        <v>0.5</v>
      </c>
      <c r="BV124" s="2155">
        <v>0.5</v>
      </c>
      <c r="BW124" s="2155">
        <v>0.5</v>
      </c>
      <c r="BX124" s="2155">
        <v>0.5</v>
      </c>
      <c r="BY124" s="2155">
        <v>0.5</v>
      </c>
      <c r="BZ124" s="2329">
        <v>0.625</v>
      </c>
      <c r="CA124" s="2155">
        <v>0.5</v>
      </c>
      <c r="CB124" s="2101"/>
      <c r="CC124" s="2100"/>
      <c r="CD124" s="2100"/>
      <c r="CE124" s="2553"/>
      <c r="CF124"/>
    </row>
    <row r="125" spans="1:84" s="1485" customFormat="1">
      <c r="A125"/>
      <c r="B125" s="2080" t="str">
        <f t="shared" si="96"/>
        <v>3a.3b</v>
      </c>
      <c r="C125" s="2095" t="str">
        <f t="shared" si="78"/>
        <v>非住宅部分</v>
      </c>
      <c r="D125" s="2091">
        <f>IF(I$124=0,0,G125/I$124)</f>
        <v>1</v>
      </c>
      <c r="E125" s="2092">
        <f>IF(J$124=0,0,H125/J$124)</f>
        <v>0</v>
      </c>
      <c r="F125"/>
      <c r="G125" s="2092">
        <f t="shared" si="79"/>
        <v>1</v>
      </c>
      <c r="H125" s="2092">
        <f t="shared" si="80"/>
        <v>0</v>
      </c>
      <c r="I125" s="2092"/>
      <c r="J125" s="2092"/>
      <c r="K125" s="2092">
        <f>IF(スコア!M125=0,0,1)</f>
        <v>1</v>
      </c>
      <c r="L125" s="2092">
        <f>IF(スコア!O125=0,0,1)</f>
        <v>0</v>
      </c>
      <c r="M125" s="2092">
        <f>SUMPRODUCT($S$7:$AB$7,S125:AB125)</f>
        <v>1</v>
      </c>
      <c r="N125" s="2092">
        <f t="shared" si="98"/>
        <v>0</v>
      </c>
      <c r="O125"/>
      <c r="P125" s="2094" t="str">
        <f t="shared" si="56"/>
        <v>3a.3b</v>
      </c>
      <c r="Q125" s="2094" t="str">
        <f t="shared" si="57"/>
        <v>LR1 3</v>
      </c>
      <c r="R125" s="2095" t="str">
        <f t="shared" si="99"/>
        <v>非住宅部分</v>
      </c>
      <c r="S125" s="2108">
        <f t="shared" si="104"/>
        <v>1</v>
      </c>
      <c r="T125" s="2108">
        <f t="shared" si="105"/>
        <v>1</v>
      </c>
      <c r="U125" s="2108">
        <f t="shared" si="106"/>
        <v>1</v>
      </c>
      <c r="V125" s="2108">
        <f t="shared" si="107"/>
        <v>1</v>
      </c>
      <c r="W125" s="2108">
        <f t="shared" si="108"/>
        <v>1</v>
      </c>
      <c r="X125" s="2108">
        <f t="shared" si="109"/>
        <v>1</v>
      </c>
      <c r="Y125" s="2108">
        <f t="shared" si="110"/>
        <v>0</v>
      </c>
      <c r="Z125" s="2117">
        <f t="shared" si="111"/>
        <v>1</v>
      </c>
      <c r="AA125" s="2108">
        <f t="shared" si="112"/>
        <v>1</v>
      </c>
      <c r="AB125" s="2108">
        <f t="shared" si="113"/>
        <v>1</v>
      </c>
      <c r="AC125" s="2098">
        <f t="shared" si="100"/>
        <v>0</v>
      </c>
      <c r="AD125" s="2096">
        <f t="shared" si="101"/>
        <v>0</v>
      </c>
      <c r="AE125" s="2096">
        <f t="shared" si="102"/>
        <v>0</v>
      </c>
      <c r="AF125"/>
      <c r="AG125" s="2094" t="s">
        <v>1539</v>
      </c>
      <c r="AH125" s="2099" t="s">
        <v>1540</v>
      </c>
      <c r="AI125" s="2095" t="s">
        <v>179</v>
      </c>
      <c r="AJ125" s="2243"/>
      <c r="AK125" s="2243"/>
      <c r="AL125" s="2243"/>
      <c r="AM125" s="2243"/>
      <c r="AN125" s="2243"/>
      <c r="AO125" s="2243"/>
      <c r="AP125" s="2244"/>
      <c r="AQ125" s="2243"/>
      <c r="AR125" s="2243"/>
      <c r="AS125" s="2244"/>
      <c r="AT125" s="2101"/>
      <c r="AU125" s="2100"/>
      <c r="AV125" s="2100"/>
      <c r="AW125"/>
      <c r="AX125" s="2094" t="s">
        <v>1539</v>
      </c>
      <c r="AY125" s="2099" t="s">
        <v>1540</v>
      </c>
      <c r="AZ125" s="2095" t="s">
        <v>1113</v>
      </c>
      <c r="BA125" s="2244">
        <v>1</v>
      </c>
      <c r="BB125" s="2244">
        <v>1</v>
      </c>
      <c r="BC125" s="2244">
        <v>1</v>
      </c>
      <c r="BD125" s="2244">
        <v>1</v>
      </c>
      <c r="BE125" s="2244">
        <v>1</v>
      </c>
      <c r="BF125" s="2244">
        <v>1</v>
      </c>
      <c r="BG125" s="2244"/>
      <c r="BH125" s="2244">
        <v>1</v>
      </c>
      <c r="BI125" s="2244">
        <v>1</v>
      </c>
      <c r="BJ125" s="2244">
        <v>1</v>
      </c>
      <c r="BK125" s="2101"/>
      <c r="BL125" s="2100"/>
      <c r="BM125" s="2100"/>
      <c r="BN125"/>
      <c r="BO125" s="2094" t="s">
        <v>3231</v>
      </c>
      <c r="BP125" s="2099" t="s">
        <v>1540</v>
      </c>
      <c r="BQ125" s="2095" t="s">
        <v>1113</v>
      </c>
      <c r="BR125" s="2244">
        <v>1</v>
      </c>
      <c r="BS125" s="2244">
        <v>1</v>
      </c>
      <c r="BT125" s="2244">
        <v>1</v>
      </c>
      <c r="BU125" s="2244">
        <v>1</v>
      </c>
      <c r="BV125" s="2244">
        <v>1</v>
      </c>
      <c r="BW125" s="2244">
        <v>1</v>
      </c>
      <c r="BX125" s="2244"/>
      <c r="BY125" s="2244">
        <v>1</v>
      </c>
      <c r="BZ125" s="2244">
        <v>1</v>
      </c>
      <c r="CA125" s="2244">
        <v>1</v>
      </c>
      <c r="CB125" s="2101"/>
      <c r="CC125" s="2100"/>
      <c r="CD125" s="2100"/>
      <c r="CE125" s="2553"/>
      <c r="CF125"/>
    </row>
    <row r="126" spans="1:84" s="1485" customFormat="1">
      <c r="A126"/>
      <c r="B126" s="2080" t="str">
        <f t="shared" si="96"/>
        <v>3b.c</v>
      </c>
      <c r="C126" s="2095" t="str">
        <f t="shared" si="78"/>
        <v>集合住宅の評価</v>
      </c>
      <c r="D126" s="2091">
        <f>IF(I$124=0,0,G126/I$124)</f>
        <v>0</v>
      </c>
      <c r="E126" s="2092">
        <f>IF(J$124=0,0,H126/J$124)</f>
        <v>0</v>
      </c>
      <c r="F126"/>
      <c r="G126" s="2092">
        <f t="shared" si="79"/>
        <v>0</v>
      </c>
      <c r="H126" s="2092">
        <f t="shared" si="80"/>
        <v>0</v>
      </c>
      <c r="I126" s="2092">
        <f>G127+G128+G129+G130+G131</f>
        <v>0</v>
      </c>
      <c r="J126" s="2092">
        <f>H127+H128+H129+H130+H131</f>
        <v>0</v>
      </c>
      <c r="K126" s="2092">
        <f>IF(スコア!M126=0,0,1)</f>
        <v>0</v>
      </c>
      <c r="L126" s="2092">
        <f>IF(スコア!O126=0,0,1)</f>
        <v>0</v>
      </c>
      <c r="M126" s="2092">
        <f>SUMPRODUCT($S$7:$AB$7,S126:AB126)</f>
        <v>0</v>
      </c>
      <c r="N126" s="2092">
        <f t="shared" si="98"/>
        <v>0</v>
      </c>
      <c r="O126"/>
      <c r="P126" s="2094" t="str">
        <f t="shared" si="56"/>
        <v>3b.c</v>
      </c>
      <c r="Q126" s="2094" t="str">
        <f t="shared" si="57"/>
        <v>LR1 3</v>
      </c>
      <c r="R126" s="2095" t="str">
        <f t="shared" si="99"/>
        <v>集合住宅の評価</v>
      </c>
      <c r="S126" s="2108">
        <f t="shared" si="104"/>
        <v>0</v>
      </c>
      <c r="T126" s="2108">
        <f t="shared" si="105"/>
        <v>0</v>
      </c>
      <c r="U126" s="2108">
        <f t="shared" si="106"/>
        <v>0</v>
      </c>
      <c r="V126" s="2108">
        <f t="shared" si="107"/>
        <v>0</v>
      </c>
      <c r="W126" s="2108">
        <f t="shared" si="108"/>
        <v>0</v>
      </c>
      <c r="X126" s="2108">
        <f t="shared" si="109"/>
        <v>0</v>
      </c>
      <c r="Y126" s="2108">
        <f t="shared" si="110"/>
        <v>1</v>
      </c>
      <c r="Z126" s="2117">
        <f t="shared" si="111"/>
        <v>0</v>
      </c>
      <c r="AA126" s="2108">
        <f t="shared" si="112"/>
        <v>0</v>
      </c>
      <c r="AB126" s="2108">
        <f t="shared" si="113"/>
        <v>0</v>
      </c>
      <c r="AC126" s="2098">
        <f t="shared" si="100"/>
        <v>0</v>
      </c>
      <c r="AD126" s="2096">
        <f t="shared" si="101"/>
        <v>0</v>
      </c>
      <c r="AE126" s="2096">
        <f t="shared" si="102"/>
        <v>0</v>
      </c>
      <c r="AF126"/>
      <c r="AG126" s="2094" t="s">
        <v>2086</v>
      </c>
      <c r="AH126" s="2099" t="s">
        <v>1540</v>
      </c>
      <c r="AI126" s="2095" t="s">
        <v>180</v>
      </c>
      <c r="AJ126" s="2245"/>
      <c r="AK126" s="2245"/>
      <c r="AL126" s="2245"/>
      <c r="AM126" s="2245"/>
      <c r="AN126" s="2245"/>
      <c r="AO126" s="2245"/>
      <c r="AP126" s="2244"/>
      <c r="AQ126" s="2245"/>
      <c r="AR126" s="2245"/>
      <c r="AS126" s="2244"/>
      <c r="AT126" s="2101"/>
      <c r="AU126" s="2100"/>
      <c r="AV126" s="2100"/>
      <c r="AW126"/>
      <c r="AX126" s="2094" t="s">
        <v>2086</v>
      </c>
      <c r="AY126" s="2099" t="s">
        <v>1540</v>
      </c>
      <c r="AZ126" s="2095" t="s">
        <v>1723</v>
      </c>
      <c r="BA126" s="2245"/>
      <c r="BB126" s="2245"/>
      <c r="BC126" s="2245"/>
      <c r="BD126" s="2245"/>
      <c r="BE126" s="2245"/>
      <c r="BF126" s="2245"/>
      <c r="BG126" s="2244">
        <v>1</v>
      </c>
      <c r="BH126" s="2245"/>
      <c r="BI126" s="2245"/>
      <c r="BJ126" s="2244"/>
      <c r="BK126" s="2101"/>
      <c r="BL126" s="2100"/>
      <c r="BM126" s="2100"/>
      <c r="BN126"/>
      <c r="BO126" s="2094" t="s">
        <v>3232</v>
      </c>
      <c r="BP126" s="2099" t="s">
        <v>1540</v>
      </c>
      <c r="BQ126" s="2095" t="s">
        <v>1723</v>
      </c>
      <c r="BR126" s="2245"/>
      <c r="BS126" s="2245"/>
      <c r="BT126" s="2245"/>
      <c r="BU126" s="2245"/>
      <c r="BV126" s="2245"/>
      <c r="BW126" s="2245"/>
      <c r="BX126" s="2244">
        <v>1</v>
      </c>
      <c r="BY126" s="2245"/>
      <c r="BZ126" s="2245"/>
      <c r="CA126" s="2244"/>
      <c r="CB126" s="2101"/>
      <c r="CC126" s="2100"/>
      <c r="CD126" s="2100"/>
      <c r="CE126" s="2553"/>
      <c r="CF126"/>
    </row>
    <row r="127" spans="1:84" hidden="1">
      <c r="B127" s="2080">
        <f t="shared" si="96"/>
        <v>3.1</v>
      </c>
      <c r="C127" s="2107" t="str">
        <f t="shared" si="78"/>
        <v>空調設備</v>
      </c>
      <c r="D127" s="2104">
        <f t="shared" ref="D127:E131" si="114">IF(I$126=0,0,G127/I$126)</f>
        <v>0</v>
      </c>
      <c r="E127" s="2105">
        <f t="shared" si="114"/>
        <v>0</v>
      </c>
      <c r="G127" s="2105">
        <f t="shared" si="79"/>
        <v>0</v>
      </c>
      <c r="H127" s="2105">
        <f t="shared" si="80"/>
        <v>0</v>
      </c>
      <c r="I127" s="2105"/>
      <c r="J127" s="2105"/>
      <c r="K127" s="2105">
        <f>IF(スコア!M127=0,0,1)</f>
        <v>0</v>
      </c>
      <c r="L127" s="2105">
        <f>IF(スコア!O127=0,0,1)</f>
        <v>0</v>
      </c>
      <c r="M127" s="2105">
        <f t="shared" si="81"/>
        <v>0</v>
      </c>
      <c r="N127" s="2105">
        <f t="shared" si="98"/>
        <v>0</v>
      </c>
      <c r="P127" s="2106">
        <f t="shared" si="56"/>
        <v>3.1</v>
      </c>
      <c r="Q127" s="2106" t="str">
        <f t="shared" si="57"/>
        <v>LR1 3b</v>
      </c>
      <c r="R127" s="2107" t="str">
        <f t="shared" si="99"/>
        <v>空調設備</v>
      </c>
      <c r="S127" s="2108">
        <f t="shared" si="104"/>
        <v>0</v>
      </c>
      <c r="T127" s="2108">
        <f t="shared" si="105"/>
        <v>0</v>
      </c>
      <c r="U127" s="2108">
        <f t="shared" si="106"/>
        <v>0</v>
      </c>
      <c r="V127" s="2108">
        <f t="shared" si="107"/>
        <v>0</v>
      </c>
      <c r="W127" s="2108">
        <f t="shared" si="108"/>
        <v>0</v>
      </c>
      <c r="X127" s="2108">
        <f t="shared" si="109"/>
        <v>0</v>
      </c>
      <c r="Y127" s="2108">
        <f t="shared" si="110"/>
        <v>0</v>
      </c>
      <c r="Z127" s="2117">
        <f t="shared" si="111"/>
        <v>0</v>
      </c>
      <c r="AA127" s="2108">
        <f t="shared" si="112"/>
        <v>0</v>
      </c>
      <c r="AB127" s="2108">
        <f t="shared" si="113"/>
        <v>0</v>
      </c>
      <c r="AC127" s="2109">
        <f t="shared" si="100"/>
        <v>0</v>
      </c>
      <c r="AD127" s="2108">
        <f t="shared" si="101"/>
        <v>0</v>
      </c>
      <c r="AE127" s="2108">
        <f t="shared" si="102"/>
        <v>0</v>
      </c>
      <c r="AG127" s="2106">
        <v>3.1</v>
      </c>
      <c r="AH127" s="2110" t="s">
        <v>1541</v>
      </c>
      <c r="AI127" s="2107" t="s">
        <v>1384</v>
      </c>
      <c r="AJ127" s="2113"/>
      <c r="AK127" s="2113"/>
      <c r="AL127" s="2113"/>
      <c r="AM127" s="2113"/>
      <c r="AN127" s="2113"/>
      <c r="AO127" s="2113"/>
      <c r="AP127" s="2113"/>
      <c r="AQ127" s="2120"/>
      <c r="AR127" s="2113"/>
      <c r="AS127" s="2330">
        <v>0.65</v>
      </c>
      <c r="AT127" s="2114"/>
      <c r="AU127" s="2113"/>
      <c r="AV127" s="2113"/>
      <c r="AX127" s="2106">
        <v>3.1</v>
      </c>
      <c r="AY127" s="2110" t="s">
        <v>1541</v>
      </c>
      <c r="AZ127" s="2107" t="s">
        <v>1384</v>
      </c>
      <c r="BA127" s="2113"/>
      <c r="BB127" s="2113"/>
      <c r="BC127" s="2113"/>
      <c r="BD127" s="2113"/>
      <c r="BE127" s="2113"/>
      <c r="BF127" s="2113"/>
      <c r="BG127" s="2113"/>
      <c r="BH127" s="2120"/>
      <c r="BI127" s="2113"/>
      <c r="BJ127" s="2330">
        <v>0.65</v>
      </c>
      <c r="BK127" s="2114"/>
      <c r="BL127" s="2113"/>
      <c r="BM127" s="2113"/>
      <c r="BO127" s="2106">
        <v>3.1</v>
      </c>
      <c r="BP127" s="2110" t="s">
        <v>1541</v>
      </c>
      <c r="BQ127" s="2107" t="s">
        <v>1384</v>
      </c>
      <c r="BR127" s="2113"/>
      <c r="BS127" s="2113"/>
      <c r="BT127" s="2113"/>
      <c r="BU127" s="2113"/>
      <c r="BV127" s="2113"/>
      <c r="BW127" s="2113"/>
      <c r="BX127" s="2113"/>
      <c r="BY127" s="2120"/>
      <c r="BZ127" s="2113"/>
      <c r="CA127" s="2113"/>
      <c r="CB127" s="2114"/>
      <c r="CC127" s="2113"/>
      <c r="CD127" s="2113"/>
      <c r="CE127" s="2554"/>
      <c r="CF127">
        <f>ROWS($CF$5:CF126)</f>
        <v>122</v>
      </c>
    </row>
    <row r="128" spans="1:84" hidden="1">
      <c r="B128" s="2080">
        <f t="shared" si="96"/>
        <v>3.2</v>
      </c>
      <c r="C128" s="2107" t="str">
        <f t="shared" si="78"/>
        <v>換気設備</v>
      </c>
      <c r="D128" s="2104">
        <f t="shared" si="114"/>
        <v>0</v>
      </c>
      <c r="E128" s="2105">
        <f t="shared" si="114"/>
        <v>0</v>
      </c>
      <c r="G128" s="2105">
        <f t="shared" si="79"/>
        <v>0</v>
      </c>
      <c r="H128" s="2105">
        <f t="shared" si="80"/>
        <v>0</v>
      </c>
      <c r="I128" s="2105"/>
      <c r="J128" s="2105"/>
      <c r="K128" s="2105">
        <f>IF(スコア!M128=0,0,1)</f>
        <v>0</v>
      </c>
      <c r="L128" s="2105">
        <f>IF(スコア!O128=0,0,1)</f>
        <v>0</v>
      </c>
      <c r="M128" s="2105">
        <f t="shared" si="81"/>
        <v>0</v>
      </c>
      <c r="N128" s="2105">
        <f t="shared" si="98"/>
        <v>0</v>
      </c>
      <c r="P128" s="2106">
        <f t="shared" si="56"/>
        <v>3.2</v>
      </c>
      <c r="Q128" s="2106" t="str">
        <f t="shared" si="57"/>
        <v>LR1 3b</v>
      </c>
      <c r="R128" s="2107" t="str">
        <f t="shared" si="99"/>
        <v>換気設備</v>
      </c>
      <c r="S128" s="2108">
        <f t="shared" si="104"/>
        <v>0</v>
      </c>
      <c r="T128" s="2108">
        <f t="shared" si="105"/>
        <v>0</v>
      </c>
      <c r="U128" s="2108">
        <f t="shared" si="106"/>
        <v>0</v>
      </c>
      <c r="V128" s="2108">
        <f t="shared" si="107"/>
        <v>0</v>
      </c>
      <c r="W128" s="2108">
        <f t="shared" si="108"/>
        <v>0</v>
      </c>
      <c r="X128" s="2108">
        <f t="shared" si="109"/>
        <v>0</v>
      </c>
      <c r="Y128" s="2108">
        <f t="shared" si="110"/>
        <v>0</v>
      </c>
      <c r="Z128" s="2117">
        <f t="shared" si="111"/>
        <v>0</v>
      </c>
      <c r="AA128" s="2108">
        <f t="shared" si="112"/>
        <v>0</v>
      </c>
      <c r="AB128" s="2108">
        <f t="shared" si="113"/>
        <v>0</v>
      </c>
      <c r="AC128" s="2109">
        <f t="shared" si="100"/>
        <v>0</v>
      </c>
      <c r="AD128" s="2108">
        <f t="shared" si="101"/>
        <v>0</v>
      </c>
      <c r="AE128" s="2108">
        <f t="shared" si="102"/>
        <v>0</v>
      </c>
      <c r="AG128" s="2106">
        <v>3.2</v>
      </c>
      <c r="AH128" s="2110" t="s">
        <v>1541</v>
      </c>
      <c r="AI128" s="2107" t="s">
        <v>1385</v>
      </c>
      <c r="AJ128" s="2113"/>
      <c r="AK128" s="2113"/>
      <c r="AL128" s="2113"/>
      <c r="AM128" s="2113"/>
      <c r="AN128" s="2113"/>
      <c r="AO128" s="2113"/>
      <c r="AP128" s="2113"/>
      <c r="AQ128" s="2120"/>
      <c r="AR128" s="2113"/>
      <c r="AS128" s="2330">
        <v>0.1</v>
      </c>
      <c r="AT128" s="2114"/>
      <c r="AU128" s="2113"/>
      <c r="AV128" s="2113"/>
      <c r="AX128" s="2106">
        <v>3.2</v>
      </c>
      <c r="AY128" s="2110" t="s">
        <v>1541</v>
      </c>
      <c r="AZ128" s="2107" t="s">
        <v>1385</v>
      </c>
      <c r="BA128" s="2113"/>
      <c r="BB128" s="2113"/>
      <c r="BC128" s="2113"/>
      <c r="BD128" s="2113"/>
      <c r="BE128" s="2113"/>
      <c r="BF128" s="2113"/>
      <c r="BG128" s="2113"/>
      <c r="BH128" s="2120"/>
      <c r="BI128" s="2113"/>
      <c r="BJ128" s="2330">
        <v>0.1</v>
      </c>
      <c r="BK128" s="2114"/>
      <c r="BL128" s="2113"/>
      <c r="BM128" s="2113"/>
      <c r="BO128" s="2106">
        <v>3.2</v>
      </c>
      <c r="BP128" s="2110" t="s">
        <v>1541</v>
      </c>
      <c r="BQ128" s="2107" t="s">
        <v>1385</v>
      </c>
      <c r="BR128" s="2113"/>
      <c r="BS128" s="2113"/>
      <c r="BT128" s="2113"/>
      <c r="BU128" s="2113"/>
      <c r="BV128" s="2113"/>
      <c r="BW128" s="2113"/>
      <c r="BX128" s="2113"/>
      <c r="BY128" s="2120"/>
      <c r="BZ128" s="2113"/>
      <c r="CA128" s="2113"/>
      <c r="CB128" s="2114"/>
      <c r="CC128" s="2113"/>
      <c r="CD128" s="2113"/>
      <c r="CE128" s="2554"/>
      <c r="CF128">
        <f>ROWS($CF$5:CF127)</f>
        <v>123</v>
      </c>
    </row>
    <row r="129" spans="1:84" hidden="1">
      <c r="B129" s="2080">
        <f t="shared" si="96"/>
        <v>3.3</v>
      </c>
      <c r="C129" s="2107" t="str">
        <f t="shared" si="78"/>
        <v>照明設備</v>
      </c>
      <c r="D129" s="2104">
        <f t="shared" si="114"/>
        <v>0</v>
      </c>
      <c r="E129" s="2105">
        <f t="shared" si="114"/>
        <v>0</v>
      </c>
      <c r="G129" s="2105">
        <f t="shared" si="79"/>
        <v>0</v>
      </c>
      <c r="H129" s="2105">
        <f t="shared" si="80"/>
        <v>0</v>
      </c>
      <c r="I129" s="2105"/>
      <c r="J129" s="2105"/>
      <c r="K129" s="2105">
        <f>IF(スコア!M129=0,0,1)</f>
        <v>0</v>
      </c>
      <c r="L129" s="2105">
        <f>IF(スコア!O129=0,0,1)</f>
        <v>0</v>
      </c>
      <c r="M129" s="2105">
        <f t="shared" si="81"/>
        <v>0</v>
      </c>
      <c r="N129" s="2105">
        <f t="shared" si="98"/>
        <v>0</v>
      </c>
      <c r="P129" s="2106">
        <f t="shared" si="56"/>
        <v>3.3</v>
      </c>
      <c r="Q129" s="2106" t="str">
        <f t="shared" si="57"/>
        <v>LR1 3b</v>
      </c>
      <c r="R129" s="2107" t="str">
        <f t="shared" si="99"/>
        <v>照明設備</v>
      </c>
      <c r="S129" s="2108">
        <f t="shared" si="104"/>
        <v>0</v>
      </c>
      <c r="T129" s="2108">
        <f t="shared" si="105"/>
        <v>0</v>
      </c>
      <c r="U129" s="2108">
        <f t="shared" si="106"/>
        <v>0</v>
      </c>
      <c r="V129" s="2108">
        <f t="shared" si="107"/>
        <v>0</v>
      </c>
      <c r="W129" s="2108">
        <f t="shared" si="108"/>
        <v>0</v>
      </c>
      <c r="X129" s="2108">
        <f t="shared" si="109"/>
        <v>0</v>
      </c>
      <c r="Y129" s="2108">
        <f t="shared" si="110"/>
        <v>0</v>
      </c>
      <c r="Z129" s="2117">
        <f t="shared" si="111"/>
        <v>0</v>
      </c>
      <c r="AA129" s="2108">
        <f t="shared" si="112"/>
        <v>0</v>
      </c>
      <c r="AB129" s="2108">
        <f t="shared" si="113"/>
        <v>0</v>
      </c>
      <c r="AC129" s="2109">
        <f t="shared" si="100"/>
        <v>0</v>
      </c>
      <c r="AD129" s="2108">
        <f t="shared" si="101"/>
        <v>0</v>
      </c>
      <c r="AE129" s="2108">
        <f t="shared" si="102"/>
        <v>0</v>
      </c>
      <c r="AG129" s="2106">
        <v>3.3</v>
      </c>
      <c r="AH129" s="2110" t="s">
        <v>1541</v>
      </c>
      <c r="AI129" s="2107" t="s">
        <v>1386</v>
      </c>
      <c r="AJ129" s="2113"/>
      <c r="AK129" s="2113"/>
      <c r="AL129" s="2113"/>
      <c r="AM129" s="2113"/>
      <c r="AN129" s="2113"/>
      <c r="AO129" s="2113"/>
      <c r="AP129" s="2113"/>
      <c r="AQ129" s="2120"/>
      <c r="AR129" s="2113"/>
      <c r="AS129" s="2330">
        <v>0.2</v>
      </c>
      <c r="AT129" s="2114"/>
      <c r="AU129" s="2113"/>
      <c r="AV129" s="2113"/>
      <c r="AX129" s="2106">
        <v>3.3</v>
      </c>
      <c r="AY129" s="2110" t="s">
        <v>1541</v>
      </c>
      <c r="AZ129" s="2107" t="s">
        <v>1386</v>
      </c>
      <c r="BA129" s="2113"/>
      <c r="BB129" s="2113"/>
      <c r="BC129" s="2113"/>
      <c r="BD129" s="2113"/>
      <c r="BE129" s="2113"/>
      <c r="BF129" s="2113"/>
      <c r="BG129" s="2113"/>
      <c r="BH129" s="2120"/>
      <c r="BI129" s="2113"/>
      <c r="BJ129" s="2330">
        <v>0.2</v>
      </c>
      <c r="BK129" s="2114"/>
      <c r="BL129" s="2113"/>
      <c r="BM129" s="2113"/>
      <c r="BO129" s="2106">
        <v>3.3</v>
      </c>
      <c r="BP129" s="2110" t="s">
        <v>1541</v>
      </c>
      <c r="BQ129" s="2107" t="s">
        <v>1386</v>
      </c>
      <c r="BR129" s="2113"/>
      <c r="BS129" s="2113"/>
      <c r="BT129" s="2113"/>
      <c r="BU129" s="2113"/>
      <c r="BV129" s="2113"/>
      <c r="BW129" s="2113"/>
      <c r="BX129" s="2113"/>
      <c r="BY129" s="2120"/>
      <c r="BZ129" s="2113"/>
      <c r="CA129" s="2113"/>
      <c r="CB129" s="2114"/>
      <c r="CC129" s="2113"/>
      <c r="CD129" s="2113"/>
      <c r="CE129" s="2554"/>
      <c r="CF129">
        <f>ROWS($CF$5:CF128)</f>
        <v>124</v>
      </c>
    </row>
    <row r="130" spans="1:84" hidden="1">
      <c r="B130" s="2080">
        <f t="shared" si="96"/>
        <v>3.4</v>
      </c>
      <c r="C130" s="2107" t="str">
        <f t="shared" si="78"/>
        <v>給湯設備</v>
      </c>
      <c r="D130" s="2104">
        <f t="shared" si="114"/>
        <v>0</v>
      </c>
      <c r="E130" s="2105">
        <f t="shared" si="114"/>
        <v>0</v>
      </c>
      <c r="G130" s="2105">
        <f t="shared" si="79"/>
        <v>0</v>
      </c>
      <c r="H130" s="2105">
        <f t="shared" si="80"/>
        <v>0</v>
      </c>
      <c r="I130" s="2105"/>
      <c r="J130" s="2105"/>
      <c r="K130" s="2105">
        <f>IF(スコア!M130=0,0,1)</f>
        <v>0</v>
      </c>
      <c r="L130" s="2105">
        <f>IF(スコア!O130=0,0,1)</f>
        <v>0</v>
      </c>
      <c r="M130" s="2105">
        <f t="shared" si="81"/>
        <v>0</v>
      </c>
      <c r="N130" s="2105">
        <f t="shared" si="98"/>
        <v>0</v>
      </c>
      <c r="P130" s="2179">
        <f t="shared" si="56"/>
        <v>3.4</v>
      </c>
      <c r="Q130" s="2106" t="str">
        <f t="shared" si="57"/>
        <v>LR1 3b</v>
      </c>
      <c r="R130" s="2107" t="str">
        <f t="shared" si="99"/>
        <v>給湯設備</v>
      </c>
      <c r="S130" s="2108">
        <f t="shared" si="104"/>
        <v>0</v>
      </c>
      <c r="T130" s="2108">
        <f t="shared" si="105"/>
        <v>0</v>
      </c>
      <c r="U130" s="2108">
        <f t="shared" si="106"/>
        <v>0</v>
      </c>
      <c r="V130" s="2108">
        <f t="shared" si="107"/>
        <v>0</v>
      </c>
      <c r="W130" s="2108">
        <f t="shared" si="108"/>
        <v>0</v>
      </c>
      <c r="X130" s="2108">
        <f t="shared" si="109"/>
        <v>0</v>
      </c>
      <c r="Y130" s="2108">
        <f t="shared" si="110"/>
        <v>0</v>
      </c>
      <c r="Z130" s="2117">
        <f t="shared" si="111"/>
        <v>0</v>
      </c>
      <c r="AA130" s="2108">
        <f t="shared" si="112"/>
        <v>0</v>
      </c>
      <c r="AB130" s="2108">
        <f t="shared" si="113"/>
        <v>0</v>
      </c>
      <c r="AC130" s="2109">
        <f t="shared" si="100"/>
        <v>0</v>
      </c>
      <c r="AD130" s="2108">
        <f t="shared" si="101"/>
        <v>0</v>
      </c>
      <c r="AE130" s="2108">
        <f t="shared" si="102"/>
        <v>0</v>
      </c>
      <c r="AG130" s="2179">
        <v>3.4</v>
      </c>
      <c r="AH130" s="2110" t="s">
        <v>1541</v>
      </c>
      <c r="AI130" s="2107" t="s">
        <v>1387</v>
      </c>
      <c r="AJ130" s="2113"/>
      <c r="AK130" s="2113"/>
      <c r="AL130" s="2113"/>
      <c r="AM130" s="2113"/>
      <c r="AN130" s="2113"/>
      <c r="AO130" s="2113"/>
      <c r="AP130" s="2113"/>
      <c r="AQ130" s="2120"/>
      <c r="AR130" s="2113"/>
      <c r="AS130" s="2330">
        <v>0.05</v>
      </c>
      <c r="AT130" s="2114"/>
      <c r="AU130" s="2113"/>
      <c r="AV130" s="2113"/>
      <c r="AX130" s="2179">
        <v>3.4</v>
      </c>
      <c r="AY130" s="2110" t="s">
        <v>1541</v>
      </c>
      <c r="AZ130" s="2107" t="s">
        <v>1387</v>
      </c>
      <c r="BA130" s="2113"/>
      <c r="BB130" s="2113"/>
      <c r="BC130" s="2113"/>
      <c r="BD130" s="2113"/>
      <c r="BE130" s="2113"/>
      <c r="BF130" s="2113"/>
      <c r="BG130" s="2113"/>
      <c r="BH130" s="2120"/>
      <c r="BI130" s="2113"/>
      <c r="BJ130" s="2330">
        <v>0.05</v>
      </c>
      <c r="BK130" s="2114"/>
      <c r="BL130" s="2113"/>
      <c r="BM130" s="2113"/>
      <c r="BO130" s="2179">
        <v>3.4</v>
      </c>
      <c r="BP130" s="2110" t="s">
        <v>1541</v>
      </c>
      <c r="BQ130" s="2107" t="s">
        <v>1387</v>
      </c>
      <c r="BR130" s="2113"/>
      <c r="BS130" s="2113"/>
      <c r="BT130" s="2113"/>
      <c r="BU130" s="2113"/>
      <c r="BV130" s="2113"/>
      <c r="BW130" s="2113"/>
      <c r="BX130" s="2113"/>
      <c r="BY130" s="2120"/>
      <c r="BZ130" s="2113"/>
      <c r="CA130" s="2113"/>
      <c r="CB130" s="2114"/>
      <c r="CC130" s="2113"/>
      <c r="CD130" s="2113"/>
      <c r="CE130" s="2554"/>
      <c r="CF130">
        <f>ROWS($CF$5:CF129)</f>
        <v>125</v>
      </c>
    </row>
    <row r="131" spans="1:84" hidden="1">
      <c r="B131" s="2080">
        <f t="shared" si="96"/>
        <v>3.5</v>
      </c>
      <c r="C131" s="2107" t="str">
        <f t="shared" si="78"/>
        <v>昇降機設備</v>
      </c>
      <c r="D131" s="2104">
        <f t="shared" si="114"/>
        <v>0</v>
      </c>
      <c r="E131" s="2105">
        <f t="shared" si="114"/>
        <v>0</v>
      </c>
      <c r="G131" s="2105">
        <f t="shared" si="79"/>
        <v>0</v>
      </c>
      <c r="H131" s="2105">
        <f t="shared" si="80"/>
        <v>0</v>
      </c>
      <c r="I131" s="2105"/>
      <c r="J131" s="2105"/>
      <c r="K131" s="2105">
        <f>IF(スコア!M131=0,0,1)</f>
        <v>0</v>
      </c>
      <c r="L131" s="2105">
        <f>IF(スコア!O131=0,0,1)</f>
        <v>0</v>
      </c>
      <c r="M131" s="2105">
        <f t="shared" si="81"/>
        <v>0</v>
      </c>
      <c r="N131" s="2105">
        <f t="shared" si="98"/>
        <v>0</v>
      </c>
      <c r="P131" s="2179">
        <f t="shared" si="56"/>
        <v>3.5</v>
      </c>
      <c r="Q131" s="2106" t="str">
        <f t="shared" si="57"/>
        <v>LR1 3b</v>
      </c>
      <c r="R131" s="2107" t="str">
        <f t="shared" si="99"/>
        <v>昇降機設備</v>
      </c>
      <c r="S131" s="2108">
        <f t="shared" si="104"/>
        <v>0</v>
      </c>
      <c r="T131" s="2108">
        <f t="shared" si="105"/>
        <v>0</v>
      </c>
      <c r="U131" s="2108">
        <f t="shared" si="106"/>
        <v>0</v>
      </c>
      <c r="V131" s="2108">
        <f t="shared" si="107"/>
        <v>0</v>
      </c>
      <c r="W131" s="2108">
        <f t="shared" si="108"/>
        <v>0</v>
      </c>
      <c r="X131" s="2108">
        <f t="shared" si="109"/>
        <v>0</v>
      </c>
      <c r="Y131" s="2108">
        <f t="shared" si="110"/>
        <v>0</v>
      </c>
      <c r="Z131" s="2117">
        <f t="shared" si="111"/>
        <v>0</v>
      </c>
      <c r="AA131" s="2108">
        <f t="shared" si="112"/>
        <v>0</v>
      </c>
      <c r="AB131" s="2108">
        <f t="shared" si="113"/>
        <v>0</v>
      </c>
      <c r="AC131" s="2109">
        <f t="shared" si="100"/>
        <v>0</v>
      </c>
      <c r="AD131" s="2108">
        <f t="shared" si="101"/>
        <v>0</v>
      </c>
      <c r="AE131" s="2108">
        <f t="shared" si="102"/>
        <v>0</v>
      </c>
      <c r="AG131" s="2179">
        <v>3.5</v>
      </c>
      <c r="AH131" s="2110" t="s">
        <v>1541</v>
      </c>
      <c r="AI131" s="2107" t="s">
        <v>1388</v>
      </c>
      <c r="AJ131" s="2113"/>
      <c r="AK131" s="2113"/>
      <c r="AL131" s="2113"/>
      <c r="AM131" s="2113"/>
      <c r="AN131" s="2113"/>
      <c r="AO131" s="2113"/>
      <c r="AP131" s="2113"/>
      <c r="AQ131" s="2120"/>
      <c r="AR131" s="2113"/>
      <c r="AS131" s="2113"/>
      <c r="AT131" s="2114"/>
      <c r="AU131" s="2113"/>
      <c r="AV131" s="2113"/>
      <c r="AX131" s="2179">
        <v>3.5</v>
      </c>
      <c r="AY131" s="2110" t="s">
        <v>1541</v>
      </c>
      <c r="AZ131" s="2107" t="s">
        <v>1388</v>
      </c>
      <c r="BA131" s="2113"/>
      <c r="BB131" s="2113"/>
      <c r="BC131" s="2113"/>
      <c r="BD131" s="2113"/>
      <c r="BE131" s="2113"/>
      <c r="BF131" s="2113"/>
      <c r="BG131" s="2113"/>
      <c r="BH131" s="2120"/>
      <c r="BI131" s="2113"/>
      <c r="BJ131" s="2113"/>
      <c r="BK131" s="2114"/>
      <c r="BL131" s="2113"/>
      <c r="BM131" s="2113"/>
      <c r="BO131" s="2179">
        <v>3.5</v>
      </c>
      <c r="BP131" s="2110" t="s">
        <v>1541</v>
      </c>
      <c r="BQ131" s="2107" t="s">
        <v>1388</v>
      </c>
      <c r="BR131" s="2113"/>
      <c r="BS131" s="2113"/>
      <c r="BT131" s="2113"/>
      <c r="BU131" s="2113"/>
      <c r="BV131" s="2113"/>
      <c r="BW131" s="2113"/>
      <c r="BX131" s="2113"/>
      <c r="BY131" s="2120"/>
      <c r="BZ131" s="2113"/>
      <c r="CA131" s="2113"/>
      <c r="CB131" s="2114"/>
      <c r="CC131" s="2113"/>
      <c r="CD131" s="2113"/>
      <c r="CE131" s="2554"/>
      <c r="CF131">
        <f>ROWS($CF$5:CF130)</f>
        <v>126</v>
      </c>
    </row>
    <row r="132" spans="1:84" hidden="1">
      <c r="B132" s="2080">
        <f t="shared" si="96"/>
        <v>0</v>
      </c>
      <c r="C132" s="2107">
        <f t="shared" si="78"/>
        <v>0</v>
      </c>
      <c r="D132" s="2104"/>
      <c r="E132" s="2105"/>
      <c r="G132" s="2105">
        <f t="shared" si="79"/>
        <v>0</v>
      </c>
      <c r="H132" s="2105">
        <f t="shared" si="80"/>
        <v>0</v>
      </c>
      <c r="I132" s="2105"/>
      <c r="J132" s="2105"/>
      <c r="K132" s="2105">
        <f>IF(スコア!M132=0,0,1)</f>
        <v>0</v>
      </c>
      <c r="L132" s="2105">
        <f>IF(スコア!O132=0,0,1)</f>
        <v>0</v>
      </c>
      <c r="M132" s="2105">
        <f t="shared" si="81"/>
        <v>0</v>
      </c>
      <c r="N132" s="2105">
        <f t="shared" si="98"/>
        <v>0</v>
      </c>
      <c r="P132" s="2179">
        <f t="shared" si="56"/>
        <v>0</v>
      </c>
      <c r="Q132" s="2179" t="str">
        <f t="shared" si="57"/>
        <v>LR</v>
      </c>
      <c r="R132" s="2107">
        <f t="shared" si="99"/>
        <v>0</v>
      </c>
      <c r="S132" s="2108">
        <f t="shared" si="104"/>
        <v>0</v>
      </c>
      <c r="T132" s="2108">
        <f t="shared" si="105"/>
        <v>0</v>
      </c>
      <c r="U132" s="2108">
        <f t="shared" si="106"/>
        <v>0</v>
      </c>
      <c r="V132" s="2108">
        <f t="shared" si="107"/>
        <v>0</v>
      </c>
      <c r="W132" s="2108">
        <f t="shared" si="108"/>
        <v>0</v>
      </c>
      <c r="X132" s="2108">
        <f t="shared" si="109"/>
        <v>0</v>
      </c>
      <c r="Y132" s="2108">
        <f t="shared" si="110"/>
        <v>0</v>
      </c>
      <c r="Z132" s="2117">
        <f t="shared" si="111"/>
        <v>0</v>
      </c>
      <c r="AA132" s="2108">
        <f t="shared" si="112"/>
        <v>0</v>
      </c>
      <c r="AB132" s="2108">
        <f t="shared" si="113"/>
        <v>0</v>
      </c>
      <c r="AC132" s="2109">
        <f t="shared" si="100"/>
        <v>0</v>
      </c>
      <c r="AD132" s="2108">
        <f t="shared" si="101"/>
        <v>0</v>
      </c>
      <c r="AE132" s="2108">
        <f t="shared" si="102"/>
        <v>0</v>
      </c>
      <c r="AG132" s="2179"/>
      <c r="AH132" s="2180" t="s">
        <v>177</v>
      </c>
      <c r="AI132" s="2107"/>
      <c r="AJ132" s="2113"/>
      <c r="AK132" s="2113"/>
      <c r="AL132" s="2113"/>
      <c r="AM132" s="2113"/>
      <c r="AN132" s="2113"/>
      <c r="AO132" s="2113"/>
      <c r="AP132" s="2113"/>
      <c r="AQ132" s="2120"/>
      <c r="AR132" s="2113"/>
      <c r="AS132" s="2113"/>
      <c r="AT132" s="2114"/>
      <c r="AU132" s="2113"/>
      <c r="AV132" s="2113"/>
      <c r="AX132" s="2179"/>
      <c r="AY132" s="2180" t="s">
        <v>177</v>
      </c>
      <c r="AZ132" s="2107"/>
      <c r="BA132" s="2113"/>
      <c r="BB132" s="2113"/>
      <c r="BC132" s="2113"/>
      <c r="BD132" s="2113"/>
      <c r="BE132" s="2113"/>
      <c r="BF132" s="2113"/>
      <c r="BG132" s="2113"/>
      <c r="BH132" s="2120"/>
      <c r="BI132" s="2113"/>
      <c r="BJ132" s="2113"/>
      <c r="BK132" s="2114"/>
      <c r="BL132" s="2113"/>
      <c r="BM132" s="2113"/>
      <c r="BO132" s="2179"/>
      <c r="BP132" s="2180" t="s">
        <v>177</v>
      </c>
      <c r="BQ132" s="2107"/>
      <c r="BR132" s="2113"/>
      <c r="BS132" s="2113"/>
      <c r="BT132" s="2113"/>
      <c r="BU132" s="2113"/>
      <c r="BV132" s="2113"/>
      <c r="BW132" s="2113"/>
      <c r="BX132" s="2113"/>
      <c r="BY132" s="2120"/>
      <c r="BZ132" s="2113"/>
      <c r="CA132" s="2113"/>
      <c r="CB132" s="2114"/>
      <c r="CC132" s="2113"/>
      <c r="CD132" s="2113"/>
      <c r="CE132" s="2554"/>
      <c r="CF132">
        <f>ROWS($CF$5:CF131)</f>
        <v>127</v>
      </c>
    </row>
    <row r="133" spans="1:84" s="1485" customFormat="1">
      <c r="A133"/>
      <c r="B133" s="2080">
        <f t="shared" si="96"/>
        <v>4</v>
      </c>
      <c r="C133" s="2095" t="str">
        <f t="shared" si="78"/>
        <v>効率的運用</v>
      </c>
      <c r="D133" s="2091">
        <f>IF(I$117=0,0,G133/I$117)</f>
        <v>0.2</v>
      </c>
      <c r="E133" s="2092">
        <f>IF(J$117=0,0,H133/J$117)</f>
        <v>0</v>
      </c>
      <c r="F133"/>
      <c r="G133" s="2092">
        <f t="shared" si="79"/>
        <v>0.2</v>
      </c>
      <c r="H133" s="2092">
        <f t="shared" si="80"/>
        <v>0</v>
      </c>
      <c r="I133" s="2092">
        <f>G134+G137</f>
        <v>1</v>
      </c>
      <c r="J133" s="2092">
        <f>H134+H137</f>
        <v>0</v>
      </c>
      <c r="K133" s="2092">
        <f>IF(スコア!M133=0,0,1)</f>
        <v>1</v>
      </c>
      <c r="L133" s="2092">
        <f>IF(スコア!O133=0,0,1)</f>
        <v>0</v>
      </c>
      <c r="M133" s="2092">
        <f t="shared" ref="M133:M139" si="115">SUMPRODUCT($S$7:$AB$7,S133:AB133)</f>
        <v>0.2</v>
      </c>
      <c r="N133" s="2092">
        <f t="shared" si="98"/>
        <v>0</v>
      </c>
      <c r="O133"/>
      <c r="P133" s="2177">
        <f t="shared" si="56"/>
        <v>4</v>
      </c>
      <c r="Q133" s="2094" t="str">
        <f t="shared" si="57"/>
        <v>LR1</v>
      </c>
      <c r="R133" s="2095" t="str">
        <f t="shared" si="99"/>
        <v>効率的運用</v>
      </c>
      <c r="S133" s="2153">
        <f t="shared" si="104"/>
        <v>0.2</v>
      </c>
      <c r="T133" s="2153">
        <f t="shared" si="105"/>
        <v>0.2</v>
      </c>
      <c r="U133" s="2153">
        <f t="shared" si="106"/>
        <v>0.2</v>
      </c>
      <c r="V133" s="2153">
        <f t="shared" si="107"/>
        <v>0.2</v>
      </c>
      <c r="W133" s="2153">
        <f t="shared" si="108"/>
        <v>0.2</v>
      </c>
      <c r="X133" s="2153">
        <f t="shared" si="109"/>
        <v>0.2</v>
      </c>
      <c r="Y133" s="2153">
        <f t="shared" si="110"/>
        <v>0.2</v>
      </c>
      <c r="Z133" s="2097">
        <f t="shared" si="111"/>
        <v>0.2</v>
      </c>
      <c r="AA133" s="2153">
        <f t="shared" si="112"/>
        <v>0.25</v>
      </c>
      <c r="AB133" s="2153">
        <f t="shared" si="113"/>
        <v>0.2</v>
      </c>
      <c r="AC133" s="2098">
        <f t="shared" si="100"/>
        <v>0</v>
      </c>
      <c r="AD133" s="2096">
        <f t="shared" si="101"/>
        <v>0</v>
      </c>
      <c r="AE133" s="2096">
        <f t="shared" si="102"/>
        <v>0</v>
      </c>
      <c r="AF133"/>
      <c r="AG133" s="2177">
        <v>4</v>
      </c>
      <c r="AH133" s="2099" t="s">
        <v>1901</v>
      </c>
      <c r="AI133" s="2095" t="s">
        <v>1389</v>
      </c>
      <c r="AJ133" s="2155">
        <v>0.2</v>
      </c>
      <c r="AK133" s="2155">
        <v>0.2</v>
      </c>
      <c r="AL133" s="2155">
        <v>0.2</v>
      </c>
      <c r="AM133" s="2155">
        <v>0.2</v>
      </c>
      <c r="AN133" s="2155">
        <v>0.2</v>
      </c>
      <c r="AO133" s="2155">
        <v>0.2</v>
      </c>
      <c r="AP133" s="2155">
        <v>0.2</v>
      </c>
      <c r="AQ133" s="2155">
        <v>0.2</v>
      </c>
      <c r="AR133" s="2155">
        <v>0.25</v>
      </c>
      <c r="AS133" s="2155">
        <v>0.2</v>
      </c>
      <c r="AT133" s="2101"/>
      <c r="AU133" s="2100"/>
      <c r="AV133" s="2100"/>
      <c r="AW133"/>
      <c r="AX133" s="2177">
        <v>4</v>
      </c>
      <c r="AY133" s="2099" t="s">
        <v>1901</v>
      </c>
      <c r="AZ133" s="2095" t="s">
        <v>1389</v>
      </c>
      <c r="BA133" s="2155">
        <v>0.2</v>
      </c>
      <c r="BB133" s="2155">
        <v>0.2</v>
      </c>
      <c r="BC133" s="2155">
        <v>0.2</v>
      </c>
      <c r="BD133" s="2155">
        <v>0.2</v>
      </c>
      <c r="BE133" s="2155">
        <v>0.2</v>
      </c>
      <c r="BF133" s="2155">
        <v>0.2</v>
      </c>
      <c r="BG133" s="2155">
        <v>0.2</v>
      </c>
      <c r="BH133" s="2155">
        <v>0.2</v>
      </c>
      <c r="BI133" s="2155">
        <v>0.25</v>
      </c>
      <c r="BJ133" s="2155">
        <v>0.2</v>
      </c>
      <c r="BK133" s="2101"/>
      <c r="BL133" s="2100"/>
      <c r="BM133" s="2100"/>
      <c r="BN133"/>
      <c r="BO133" s="2177">
        <v>4</v>
      </c>
      <c r="BP133" s="2099" t="s">
        <v>1901</v>
      </c>
      <c r="BQ133" s="2095" t="s">
        <v>1389</v>
      </c>
      <c r="BR133" s="2155">
        <v>0.2</v>
      </c>
      <c r="BS133" s="2155">
        <v>0.2</v>
      </c>
      <c r="BT133" s="2155">
        <v>0.2</v>
      </c>
      <c r="BU133" s="2155">
        <v>0.2</v>
      </c>
      <c r="BV133" s="2155">
        <v>0.2</v>
      </c>
      <c r="BW133" s="2155">
        <v>0.2</v>
      </c>
      <c r="BX133" s="2155">
        <v>0.2</v>
      </c>
      <c r="BY133" s="2155">
        <v>0.2</v>
      </c>
      <c r="BZ133" s="2155">
        <v>0.25</v>
      </c>
      <c r="CA133" s="2155">
        <v>0.2</v>
      </c>
      <c r="CB133" s="2101"/>
      <c r="CC133" s="2100"/>
      <c r="CD133" s="2100"/>
      <c r="CE133" s="2553"/>
      <c r="CF133">
        <f>ROWS($CF$5:CF132)</f>
        <v>128</v>
      </c>
    </row>
    <row r="134" spans="1:84">
      <c r="B134" s="2080">
        <f t="shared" si="96"/>
        <v>4.0999999999999996</v>
      </c>
      <c r="C134" s="2107" t="str">
        <f t="shared" si="78"/>
        <v>住宅以外の評価</v>
      </c>
      <c r="D134" s="2104">
        <f>IF(I$133=0,0,G134/I$133)</f>
        <v>1</v>
      </c>
      <c r="E134" s="2104">
        <f>IF(J$133=0,0,H134/J$133)</f>
        <v>0</v>
      </c>
      <c r="G134" s="2105">
        <f t="shared" si="79"/>
        <v>1</v>
      </c>
      <c r="H134" s="2105">
        <f t="shared" si="80"/>
        <v>0</v>
      </c>
      <c r="I134" s="2105">
        <f>SUM(G135:G136)</f>
        <v>1</v>
      </c>
      <c r="J134" s="2105">
        <f>SUM(H135:H136)</f>
        <v>0</v>
      </c>
      <c r="K134" s="2105">
        <f>IF(スコア!M134=0,0,1)</f>
        <v>1</v>
      </c>
      <c r="L134" s="2105">
        <f>IF(スコア!O134=0,0,1)</f>
        <v>0</v>
      </c>
      <c r="M134" s="2105">
        <f t="shared" si="115"/>
        <v>1</v>
      </c>
      <c r="N134" s="2105">
        <f t="shared" ref="N134:N139" si="116">(AC$7*AC134)+(AD$7*AD134)+(AE$7*AE134)</f>
        <v>0</v>
      </c>
      <c r="P134" s="2106">
        <f t="shared" si="56"/>
        <v>4.0999999999999996</v>
      </c>
      <c r="Q134" s="2106" t="str">
        <f t="shared" si="57"/>
        <v>LR1 4</v>
      </c>
      <c r="R134" s="2107" t="str">
        <f t="shared" si="99"/>
        <v>住宅以外の評価</v>
      </c>
      <c r="S134" s="2108">
        <f t="shared" si="104"/>
        <v>1</v>
      </c>
      <c r="T134" s="2108">
        <f t="shared" si="105"/>
        <v>1</v>
      </c>
      <c r="U134" s="2108">
        <f t="shared" si="106"/>
        <v>1</v>
      </c>
      <c r="V134" s="2108">
        <f t="shared" si="107"/>
        <v>1</v>
      </c>
      <c r="W134" s="2108">
        <f t="shared" si="108"/>
        <v>1</v>
      </c>
      <c r="X134" s="2108">
        <f t="shared" si="109"/>
        <v>1</v>
      </c>
      <c r="Y134" s="2108">
        <f t="shared" si="110"/>
        <v>0</v>
      </c>
      <c r="Z134" s="2117">
        <f t="shared" si="111"/>
        <v>1</v>
      </c>
      <c r="AA134" s="2108">
        <f t="shared" si="112"/>
        <v>1</v>
      </c>
      <c r="AB134" s="2108">
        <f t="shared" si="113"/>
        <v>1</v>
      </c>
      <c r="AC134" s="2109">
        <f t="shared" si="100"/>
        <v>0</v>
      </c>
      <c r="AD134" s="2166">
        <f t="shared" si="101"/>
        <v>0</v>
      </c>
      <c r="AE134" s="2166">
        <f t="shared" si="102"/>
        <v>0</v>
      </c>
      <c r="AG134" s="2106">
        <v>4.0999999999999996</v>
      </c>
      <c r="AH134" s="2110" t="s">
        <v>181</v>
      </c>
      <c r="AI134" s="2107" t="s">
        <v>1745</v>
      </c>
      <c r="AJ134" s="2113">
        <v>1</v>
      </c>
      <c r="AK134" s="2113">
        <v>1</v>
      </c>
      <c r="AL134" s="2113">
        <v>1</v>
      </c>
      <c r="AM134" s="2113">
        <v>1</v>
      </c>
      <c r="AN134" s="2113">
        <v>1</v>
      </c>
      <c r="AO134" s="2113">
        <v>1</v>
      </c>
      <c r="AP134" s="2113"/>
      <c r="AQ134" s="2113">
        <v>1</v>
      </c>
      <c r="AR134" s="2113">
        <v>1</v>
      </c>
      <c r="AS134" s="2113">
        <v>1</v>
      </c>
      <c r="AT134" s="2114"/>
      <c r="AU134" s="2168"/>
      <c r="AV134" s="2168"/>
      <c r="AX134" s="2106">
        <v>4.0999999999999996</v>
      </c>
      <c r="AY134" s="2110" t="s">
        <v>181</v>
      </c>
      <c r="AZ134" s="2107" t="s">
        <v>1745</v>
      </c>
      <c r="BA134" s="2113">
        <v>1</v>
      </c>
      <c r="BB134" s="2113">
        <v>1</v>
      </c>
      <c r="BC134" s="2113">
        <v>1</v>
      </c>
      <c r="BD134" s="2113">
        <v>1</v>
      </c>
      <c r="BE134" s="2113">
        <v>1</v>
      </c>
      <c r="BF134" s="2113">
        <v>1</v>
      </c>
      <c r="BG134" s="2113"/>
      <c r="BH134" s="2113">
        <v>1</v>
      </c>
      <c r="BI134" s="2113">
        <v>1</v>
      </c>
      <c r="BJ134" s="2113">
        <v>1</v>
      </c>
      <c r="BK134" s="2114"/>
      <c r="BL134" s="2168"/>
      <c r="BM134" s="2168"/>
      <c r="BO134" s="2106">
        <v>4.0999999999999996</v>
      </c>
      <c r="BP134" s="2110" t="s">
        <v>181</v>
      </c>
      <c r="BQ134" s="2107" t="s">
        <v>1745</v>
      </c>
      <c r="BR134" s="2113">
        <v>1</v>
      </c>
      <c r="BS134" s="2113">
        <v>1</v>
      </c>
      <c r="BT134" s="2113">
        <v>1</v>
      </c>
      <c r="BU134" s="2113">
        <v>1</v>
      </c>
      <c r="BV134" s="2113">
        <v>1</v>
      </c>
      <c r="BW134" s="2113">
        <v>1</v>
      </c>
      <c r="BX134" s="2113"/>
      <c r="BY134" s="2113">
        <v>1</v>
      </c>
      <c r="BZ134" s="2113">
        <v>1</v>
      </c>
      <c r="CA134" s="2113">
        <v>1</v>
      </c>
      <c r="CB134" s="2114"/>
      <c r="CC134" s="2168"/>
      <c r="CD134" s="2168"/>
      <c r="CE134" s="2557"/>
      <c r="CF134">
        <f>ROWS($CF$5:CF133)</f>
        <v>129</v>
      </c>
    </row>
    <row r="135" spans="1:84">
      <c r="B135" s="2080" t="str">
        <f>P135</f>
        <v>4.1.1</v>
      </c>
      <c r="C135" s="2107" t="str">
        <f>R135</f>
        <v>モニタリング</v>
      </c>
      <c r="D135" s="2104">
        <f>IF(I$134=0,0,G135/I$134)</f>
        <v>0.5</v>
      </c>
      <c r="E135" s="2104">
        <f>IF(J$134=0,0,H135/J$134)</f>
        <v>0</v>
      </c>
      <c r="G135" s="2105">
        <f t="shared" si="79"/>
        <v>0.5</v>
      </c>
      <c r="H135" s="2105">
        <f t="shared" si="80"/>
        <v>0</v>
      </c>
      <c r="I135" s="2105"/>
      <c r="J135" s="2105"/>
      <c r="K135" s="2105">
        <f>IF(スコア!M135=0,0,1)</f>
        <v>1</v>
      </c>
      <c r="L135" s="2105">
        <f>IF(スコア!O135=0,0,1)</f>
        <v>0</v>
      </c>
      <c r="M135" s="2105">
        <f t="shared" si="115"/>
        <v>0.5</v>
      </c>
      <c r="N135" s="2105">
        <f t="shared" si="116"/>
        <v>0</v>
      </c>
      <c r="P135" s="2106" t="str">
        <f t="shared" si="56"/>
        <v>4.1.1</v>
      </c>
      <c r="Q135" s="2106" t="str">
        <f t="shared" si="57"/>
        <v>LR1 4.1</v>
      </c>
      <c r="R135" s="2107" t="str">
        <f t="shared" ref="R135:AE139" si="117">IF($P$3=1,AZ135,IF($P$3=2,BQ135,AI135))</f>
        <v>モニタリング</v>
      </c>
      <c r="S135" s="2108">
        <f>IF($P$3=1,BA135,IF($P$3=2,BR135,AJ135))</f>
        <v>0.5</v>
      </c>
      <c r="T135" s="2108">
        <f t="shared" si="117"/>
        <v>0.5</v>
      </c>
      <c r="U135" s="2108">
        <f t="shared" si="117"/>
        <v>0.5</v>
      </c>
      <c r="V135" s="2108">
        <f t="shared" si="117"/>
        <v>0.5</v>
      </c>
      <c r="W135" s="2108">
        <f t="shared" si="117"/>
        <v>0.5</v>
      </c>
      <c r="X135" s="2108">
        <f t="shared" si="117"/>
        <v>0.5</v>
      </c>
      <c r="Y135" s="2108">
        <f t="shared" si="117"/>
        <v>0</v>
      </c>
      <c r="Z135" s="2117">
        <f t="shared" si="117"/>
        <v>0.5</v>
      </c>
      <c r="AA135" s="2108">
        <f t="shared" si="117"/>
        <v>0.5</v>
      </c>
      <c r="AB135" s="2108">
        <f t="shared" si="117"/>
        <v>0.5</v>
      </c>
      <c r="AC135" s="2109">
        <f t="shared" si="117"/>
        <v>0</v>
      </c>
      <c r="AD135" s="2166">
        <f t="shared" si="117"/>
        <v>0</v>
      </c>
      <c r="AE135" s="2166">
        <f t="shared" si="117"/>
        <v>0</v>
      </c>
      <c r="AG135" s="2106" t="s">
        <v>1738</v>
      </c>
      <c r="AH135" s="2110" t="s">
        <v>1742</v>
      </c>
      <c r="AI135" s="2107" t="s">
        <v>2088</v>
      </c>
      <c r="AJ135" s="2113">
        <v>0.5</v>
      </c>
      <c r="AK135" s="2113">
        <v>0.5</v>
      </c>
      <c r="AL135" s="2113">
        <v>0.5</v>
      </c>
      <c r="AM135" s="2113">
        <v>0.5</v>
      </c>
      <c r="AN135" s="2113">
        <v>0.5</v>
      </c>
      <c r="AO135" s="2113">
        <v>0.5</v>
      </c>
      <c r="AP135" s="2113"/>
      <c r="AQ135" s="2113">
        <v>0.5</v>
      </c>
      <c r="AR135" s="2113">
        <v>0.5</v>
      </c>
      <c r="AS135" s="2113">
        <v>0.5</v>
      </c>
      <c r="AT135" s="2114"/>
      <c r="AU135" s="2168"/>
      <c r="AV135" s="2168"/>
      <c r="AX135" s="2106" t="s">
        <v>1738</v>
      </c>
      <c r="AY135" s="2110" t="s">
        <v>1742</v>
      </c>
      <c r="AZ135" s="2107" t="s">
        <v>2088</v>
      </c>
      <c r="BA135" s="2113">
        <v>0.5</v>
      </c>
      <c r="BB135" s="2113">
        <v>0.5</v>
      </c>
      <c r="BC135" s="2113">
        <v>0.5</v>
      </c>
      <c r="BD135" s="2113">
        <v>0.5</v>
      </c>
      <c r="BE135" s="2113">
        <v>0.5</v>
      </c>
      <c r="BF135" s="2113">
        <v>0.5</v>
      </c>
      <c r="BG135" s="2113"/>
      <c r="BH135" s="2113">
        <v>0.5</v>
      </c>
      <c r="BI135" s="2113">
        <v>0.5</v>
      </c>
      <c r="BJ135" s="2113">
        <v>0.5</v>
      </c>
      <c r="BK135" s="2114"/>
      <c r="BL135" s="2168"/>
      <c r="BM135" s="2168"/>
      <c r="BO135" s="2106" t="s">
        <v>1738</v>
      </c>
      <c r="BP135" s="2110" t="s">
        <v>1742</v>
      </c>
      <c r="BQ135" s="2107" t="s">
        <v>2088</v>
      </c>
      <c r="BR135" s="2113">
        <v>0.5</v>
      </c>
      <c r="BS135" s="2113">
        <v>0.5</v>
      </c>
      <c r="BT135" s="2113">
        <v>0.5</v>
      </c>
      <c r="BU135" s="2113">
        <v>0.5</v>
      </c>
      <c r="BV135" s="2113">
        <v>0.5</v>
      </c>
      <c r="BW135" s="2113">
        <v>0.5</v>
      </c>
      <c r="BX135" s="2113"/>
      <c r="BY135" s="2113">
        <v>0.5</v>
      </c>
      <c r="BZ135" s="2113">
        <v>0.5</v>
      </c>
      <c r="CA135" s="2113">
        <v>0.5</v>
      </c>
      <c r="CB135" s="2114"/>
      <c r="CC135" s="2168"/>
      <c r="CD135" s="2168"/>
      <c r="CE135" s="2557"/>
    </row>
    <row r="136" spans="1:84">
      <c r="B136" s="2080" t="str">
        <f>P136</f>
        <v>4.1.2</v>
      </c>
      <c r="C136" s="2107" t="str">
        <f>R136</f>
        <v>運用管理体制</v>
      </c>
      <c r="D136" s="2093">
        <f>IF(I$134&gt;0,G136/I$134,0)</f>
        <v>0.5</v>
      </c>
      <c r="E136" s="2093">
        <f>IF(J$134&gt;0,H136/J$134,0)</f>
        <v>0</v>
      </c>
      <c r="G136" s="2105">
        <f t="shared" si="79"/>
        <v>0.5</v>
      </c>
      <c r="H136" s="2105">
        <f t="shared" si="80"/>
        <v>0</v>
      </c>
      <c r="I136" s="2105"/>
      <c r="J136" s="2105"/>
      <c r="K136" s="2105">
        <f>IF(スコア!M136=0,0,1)</f>
        <v>1</v>
      </c>
      <c r="L136" s="2105">
        <f>IF(スコア!O136=0,0,1)</f>
        <v>0</v>
      </c>
      <c r="M136" s="2105">
        <f t="shared" si="115"/>
        <v>0.5</v>
      </c>
      <c r="N136" s="2105">
        <f t="shared" si="116"/>
        <v>0</v>
      </c>
      <c r="P136" s="2106" t="str">
        <f t="shared" si="56"/>
        <v>4.1.2</v>
      </c>
      <c r="Q136" s="2106" t="str">
        <f t="shared" si="57"/>
        <v>LR1 4.1</v>
      </c>
      <c r="R136" s="2107" t="str">
        <f t="shared" si="117"/>
        <v>運用管理体制</v>
      </c>
      <c r="S136" s="2108">
        <f t="shared" si="117"/>
        <v>0.5</v>
      </c>
      <c r="T136" s="2108">
        <f t="shared" si="117"/>
        <v>0.5</v>
      </c>
      <c r="U136" s="2108">
        <f t="shared" si="117"/>
        <v>0.5</v>
      </c>
      <c r="V136" s="2108">
        <f t="shared" si="117"/>
        <v>0.5</v>
      </c>
      <c r="W136" s="2108">
        <f t="shared" si="117"/>
        <v>0.5</v>
      </c>
      <c r="X136" s="2108">
        <f t="shared" si="117"/>
        <v>0.5</v>
      </c>
      <c r="Y136" s="2108">
        <f t="shared" si="117"/>
        <v>0</v>
      </c>
      <c r="Z136" s="2117">
        <f t="shared" si="117"/>
        <v>0.5</v>
      </c>
      <c r="AA136" s="2108">
        <f t="shared" si="117"/>
        <v>0.5</v>
      </c>
      <c r="AB136" s="2108">
        <f t="shared" si="117"/>
        <v>0.5</v>
      </c>
      <c r="AC136" s="2109">
        <f t="shared" si="117"/>
        <v>0</v>
      </c>
      <c r="AD136" s="2166">
        <f t="shared" si="117"/>
        <v>0</v>
      </c>
      <c r="AE136" s="2166">
        <f t="shared" si="117"/>
        <v>0</v>
      </c>
      <c r="AG136" s="2106" t="s">
        <v>1739</v>
      </c>
      <c r="AH136" s="2110" t="s">
        <v>1743</v>
      </c>
      <c r="AI136" s="2111" t="s">
        <v>1390</v>
      </c>
      <c r="AJ136" s="2113">
        <v>0.5</v>
      </c>
      <c r="AK136" s="2113">
        <v>0.5</v>
      </c>
      <c r="AL136" s="2113">
        <v>0.5</v>
      </c>
      <c r="AM136" s="2113">
        <v>0.5</v>
      </c>
      <c r="AN136" s="2113">
        <v>0.5</v>
      </c>
      <c r="AO136" s="2113">
        <v>0.5</v>
      </c>
      <c r="AP136" s="2113"/>
      <c r="AQ136" s="2113">
        <v>0.5</v>
      </c>
      <c r="AR136" s="2113">
        <v>0.5</v>
      </c>
      <c r="AS136" s="2113">
        <v>0.5</v>
      </c>
      <c r="AT136" s="2114"/>
      <c r="AU136" s="2168"/>
      <c r="AV136" s="2168"/>
      <c r="AX136" s="2106" t="s">
        <v>1739</v>
      </c>
      <c r="AY136" s="2110" t="s">
        <v>1743</v>
      </c>
      <c r="AZ136" s="2111" t="s">
        <v>1390</v>
      </c>
      <c r="BA136" s="2113">
        <v>0.5</v>
      </c>
      <c r="BB136" s="2113">
        <v>0.5</v>
      </c>
      <c r="BC136" s="2113">
        <v>0.5</v>
      </c>
      <c r="BD136" s="2113">
        <v>0.5</v>
      </c>
      <c r="BE136" s="2113">
        <v>0.5</v>
      </c>
      <c r="BF136" s="2113">
        <v>0.5</v>
      </c>
      <c r="BG136" s="2113"/>
      <c r="BH136" s="2113">
        <v>0.5</v>
      </c>
      <c r="BI136" s="2113">
        <v>0.5</v>
      </c>
      <c r="BJ136" s="2113">
        <v>0.5</v>
      </c>
      <c r="BK136" s="2114"/>
      <c r="BL136" s="2168"/>
      <c r="BM136" s="2168"/>
      <c r="BO136" s="2106" t="s">
        <v>1739</v>
      </c>
      <c r="BP136" s="2110" t="s">
        <v>1743</v>
      </c>
      <c r="BQ136" s="2111" t="s">
        <v>1390</v>
      </c>
      <c r="BR136" s="2113">
        <v>0.5</v>
      </c>
      <c r="BS136" s="2113">
        <v>0.5</v>
      </c>
      <c r="BT136" s="2113">
        <v>0.5</v>
      </c>
      <c r="BU136" s="2113">
        <v>0.5</v>
      </c>
      <c r="BV136" s="2113">
        <v>0.5</v>
      </c>
      <c r="BW136" s="2113">
        <v>0.5</v>
      </c>
      <c r="BX136" s="2113"/>
      <c r="BY136" s="2113">
        <v>0.5</v>
      </c>
      <c r="BZ136" s="2113">
        <v>0.5</v>
      </c>
      <c r="CA136" s="2113">
        <v>0.5</v>
      </c>
      <c r="CB136" s="2114"/>
      <c r="CC136" s="2168"/>
      <c r="CD136" s="2168"/>
      <c r="CE136" s="2557"/>
    </row>
    <row r="137" spans="1:84" s="2181" customFormat="1">
      <c r="A137"/>
      <c r="B137" s="2080">
        <f>P137</f>
        <v>4.2</v>
      </c>
      <c r="C137" s="2107" t="str">
        <f>R137</f>
        <v>住宅の評価</v>
      </c>
      <c r="D137" s="2104">
        <f>IF(I$133=0,0,G137/I$133)</f>
        <v>0</v>
      </c>
      <c r="E137" s="2104">
        <f>IF(J$133=0,0,H137/J$133)</f>
        <v>0</v>
      </c>
      <c r="F137"/>
      <c r="G137" s="2105">
        <f t="shared" ref="G137:H139" si="118">K137*M137</f>
        <v>0</v>
      </c>
      <c r="H137" s="2105">
        <f t="shared" si="118"/>
        <v>0</v>
      </c>
      <c r="I137" s="2105">
        <f>SUM(G138:G139)</f>
        <v>0</v>
      </c>
      <c r="J137" s="2105">
        <f>SUM(H138:H139)</f>
        <v>0</v>
      </c>
      <c r="K137" s="2105">
        <f>IF(スコア!M137=0,0,1)</f>
        <v>0</v>
      </c>
      <c r="L137" s="2105">
        <f>IF(スコア!O137=0,0,1)</f>
        <v>0</v>
      </c>
      <c r="M137" s="2105">
        <f t="shared" si="115"/>
        <v>0</v>
      </c>
      <c r="N137" s="2105">
        <f t="shared" si="116"/>
        <v>0</v>
      </c>
      <c r="O137"/>
      <c r="P137" s="2106">
        <f t="shared" ref="P137:P180" si="119">IF($P$3=1,AX137,IF($P$3=2,BO137,AG137))</f>
        <v>4.2</v>
      </c>
      <c r="Q137" s="2106" t="str">
        <f t="shared" ref="Q137:Q180" si="120">IF($P$3=1,AY137,IF($P$3=2,BP137,AH137))</f>
        <v>LR1 4</v>
      </c>
      <c r="R137" s="2107" t="str">
        <f t="shared" si="117"/>
        <v>住宅の評価</v>
      </c>
      <c r="S137" s="2108">
        <f t="shared" si="117"/>
        <v>0</v>
      </c>
      <c r="T137" s="2108">
        <f t="shared" si="117"/>
        <v>0</v>
      </c>
      <c r="U137" s="2108">
        <f t="shared" si="117"/>
        <v>0</v>
      </c>
      <c r="V137" s="2108">
        <f t="shared" si="117"/>
        <v>0</v>
      </c>
      <c r="W137" s="2108">
        <f t="shared" si="117"/>
        <v>0</v>
      </c>
      <c r="X137" s="2108">
        <f t="shared" si="117"/>
        <v>0</v>
      </c>
      <c r="Y137" s="2108">
        <f t="shared" si="117"/>
        <v>1</v>
      </c>
      <c r="Z137" s="2117">
        <f t="shared" si="117"/>
        <v>0</v>
      </c>
      <c r="AA137" s="2108">
        <f t="shared" si="117"/>
        <v>0</v>
      </c>
      <c r="AB137" s="2108">
        <f t="shared" si="117"/>
        <v>0</v>
      </c>
      <c r="AC137" s="2109">
        <f t="shared" si="117"/>
        <v>0</v>
      </c>
      <c r="AD137" s="2166">
        <f t="shared" si="117"/>
        <v>0</v>
      </c>
      <c r="AE137" s="2166">
        <f t="shared" si="117"/>
        <v>0</v>
      </c>
      <c r="AF137"/>
      <c r="AG137" s="2106">
        <v>4.2</v>
      </c>
      <c r="AH137" s="2110" t="s">
        <v>181</v>
      </c>
      <c r="AI137" s="2111" t="s">
        <v>1746</v>
      </c>
      <c r="AJ137" s="2113"/>
      <c r="AK137" s="2113"/>
      <c r="AL137" s="2113"/>
      <c r="AM137" s="2113"/>
      <c r="AN137" s="2113"/>
      <c r="AO137" s="2113"/>
      <c r="AP137" s="2113">
        <v>1</v>
      </c>
      <c r="AQ137" s="2120"/>
      <c r="AR137" s="2113"/>
      <c r="AS137" s="2113"/>
      <c r="AT137" s="2114"/>
      <c r="AU137" s="2168"/>
      <c r="AV137" s="2168"/>
      <c r="AW137"/>
      <c r="AX137" s="2106">
        <v>4.2</v>
      </c>
      <c r="AY137" s="2110" t="s">
        <v>181</v>
      </c>
      <c r="AZ137" s="2111" t="s">
        <v>1746</v>
      </c>
      <c r="BA137" s="2113"/>
      <c r="BB137" s="2113"/>
      <c r="BC137" s="2113"/>
      <c r="BD137" s="2113"/>
      <c r="BE137" s="2113"/>
      <c r="BF137" s="2113"/>
      <c r="BG137" s="2113">
        <v>1</v>
      </c>
      <c r="BH137" s="2120"/>
      <c r="BI137" s="2113"/>
      <c r="BJ137" s="2113"/>
      <c r="BK137" s="2114"/>
      <c r="BL137" s="2168"/>
      <c r="BM137" s="2168"/>
      <c r="BN137"/>
      <c r="BO137" s="2106">
        <v>4.2</v>
      </c>
      <c r="BP137" s="2110" t="s">
        <v>181</v>
      </c>
      <c r="BQ137" s="2111" t="s">
        <v>1746</v>
      </c>
      <c r="BR137" s="2113"/>
      <c r="BS137" s="2113"/>
      <c r="BT137" s="2113"/>
      <c r="BU137" s="2113"/>
      <c r="BV137" s="2113"/>
      <c r="BW137" s="2113"/>
      <c r="BX137" s="2113">
        <v>1</v>
      </c>
      <c r="BY137" s="2120"/>
      <c r="BZ137" s="2113"/>
      <c r="CA137" s="2113"/>
      <c r="CB137" s="2114"/>
      <c r="CC137" s="2168"/>
      <c r="CD137" s="2168"/>
      <c r="CE137" s="2557"/>
      <c r="CF137"/>
    </row>
    <row r="138" spans="1:84" s="2181" customFormat="1">
      <c r="A138"/>
      <c r="B138" s="2080" t="str">
        <f>P138</f>
        <v>4.2.1</v>
      </c>
      <c r="C138" s="2107" t="str">
        <f>R138</f>
        <v>モニタリング</v>
      </c>
      <c r="D138" s="2093">
        <f>IF(I$137&gt;0,G138/I$137,0)</f>
        <v>0</v>
      </c>
      <c r="E138" s="2093">
        <f>IF(J$137&gt;0,H138/J$137,0)</f>
        <v>0</v>
      </c>
      <c r="F138"/>
      <c r="G138" s="2105">
        <f t="shared" si="118"/>
        <v>0</v>
      </c>
      <c r="H138" s="2105">
        <f t="shared" si="118"/>
        <v>0</v>
      </c>
      <c r="I138" s="2105"/>
      <c r="J138" s="2105"/>
      <c r="K138" s="2105">
        <f>IF(スコア!M138=0,0,1)</f>
        <v>1</v>
      </c>
      <c r="L138" s="2105">
        <f>IF(スコア!O138=0,0,1)</f>
        <v>0</v>
      </c>
      <c r="M138" s="2105">
        <f t="shared" si="115"/>
        <v>0</v>
      </c>
      <c r="N138" s="2105">
        <f t="shared" si="116"/>
        <v>0</v>
      </c>
      <c r="O138"/>
      <c r="P138" s="2106" t="str">
        <f t="shared" si="119"/>
        <v>4.2.1</v>
      </c>
      <c r="Q138" s="2106" t="str">
        <f t="shared" si="120"/>
        <v>LR1 4.2</v>
      </c>
      <c r="R138" s="2107" t="str">
        <f t="shared" si="117"/>
        <v>モニタリング</v>
      </c>
      <c r="S138" s="2108">
        <f t="shared" si="117"/>
        <v>0</v>
      </c>
      <c r="T138" s="2108">
        <f t="shared" si="117"/>
        <v>0</v>
      </c>
      <c r="U138" s="2108">
        <f t="shared" si="117"/>
        <v>0</v>
      </c>
      <c r="V138" s="2108">
        <f t="shared" si="117"/>
        <v>0</v>
      </c>
      <c r="W138" s="2108">
        <f t="shared" si="117"/>
        <v>0</v>
      </c>
      <c r="X138" s="2108">
        <f t="shared" si="117"/>
        <v>0</v>
      </c>
      <c r="Y138" s="2108">
        <f t="shared" si="117"/>
        <v>0.5</v>
      </c>
      <c r="Z138" s="2117">
        <f t="shared" si="117"/>
        <v>0</v>
      </c>
      <c r="AA138" s="2108">
        <f t="shared" si="117"/>
        <v>0</v>
      </c>
      <c r="AB138" s="2108">
        <f t="shared" si="117"/>
        <v>0</v>
      </c>
      <c r="AC138" s="2109">
        <f t="shared" si="117"/>
        <v>0</v>
      </c>
      <c r="AD138" s="2166">
        <f t="shared" si="117"/>
        <v>0</v>
      </c>
      <c r="AE138" s="2166">
        <f t="shared" si="117"/>
        <v>0</v>
      </c>
      <c r="AF138"/>
      <c r="AG138" s="2106" t="s">
        <v>1740</v>
      </c>
      <c r="AH138" s="2110" t="s">
        <v>1744</v>
      </c>
      <c r="AI138" s="2111" t="s">
        <v>1732</v>
      </c>
      <c r="AJ138" s="2113"/>
      <c r="AK138" s="2113"/>
      <c r="AL138" s="2113"/>
      <c r="AM138" s="2113"/>
      <c r="AN138" s="2113"/>
      <c r="AO138" s="2113"/>
      <c r="AP138" s="2113">
        <v>0.5</v>
      </c>
      <c r="AQ138" s="2120"/>
      <c r="AR138" s="2113"/>
      <c r="AS138" s="2113"/>
      <c r="AT138" s="2114"/>
      <c r="AU138" s="2168"/>
      <c r="AV138" s="2168"/>
      <c r="AW138"/>
      <c r="AX138" s="2106" t="s">
        <v>1740</v>
      </c>
      <c r="AY138" s="2110" t="s">
        <v>1744</v>
      </c>
      <c r="AZ138" s="2111" t="s">
        <v>1105</v>
      </c>
      <c r="BA138" s="2113"/>
      <c r="BB138" s="2113"/>
      <c r="BC138" s="2113"/>
      <c r="BD138" s="2113"/>
      <c r="BE138" s="2113"/>
      <c r="BF138" s="2113"/>
      <c r="BG138" s="2113">
        <v>0.5</v>
      </c>
      <c r="BH138" s="2120"/>
      <c r="BI138" s="2113"/>
      <c r="BJ138" s="2113"/>
      <c r="BK138" s="2114"/>
      <c r="BL138" s="2168"/>
      <c r="BM138" s="2168"/>
      <c r="BN138"/>
      <c r="BO138" s="2106" t="s">
        <v>1740</v>
      </c>
      <c r="BP138" s="2110" t="s">
        <v>1744</v>
      </c>
      <c r="BQ138" s="2111" t="s">
        <v>1105</v>
      </c>
      <c r="BR138" s="2113"/>
      <c r="BS138" s="2113"/>
      <c r="BT138" s="2113"/>
      <c r="BU138" s="2113"/>
      <c r="BV138" s="2113"/>
      <c r="BW138" s="2113"/>
      <c r="BX138" s="2113">
        <v>0.5</v>
      </c>
      <c r="BY138" s="2120"/>
      <c r="BZ138" s="2113"/>
      <c r="CA138" s="2113"/>
      <c r="CB138" s="2114"/>
      <c r="CC138" s="2168"/>
      <c r="CD138" s="2168"/>
      <c r="CE138" s="2557"/>
      <c r="CF138"/>
    </row>
    <row r="139" spans="1:84" s="2181" customFormat="1">
      <c r="A139"/>
      <c r="B139" s="2080" t="str">
        <f>P139</f>
        <v>4.2.2</v>
      </c>
      <c r="C139" s="2107" t="str">
        <f>R139</f>
        <v>運用管理体制</v>
      </c>
      <c r="D139" s="2093">
        <f>IF(I$137&gt;0,G139/I$137,0)</f>
        <v>0</v>
      </c>
      <c r="E139" s="2093">
        <f>IF(J$137&gt;0,H139/J$137,0)</f>
        <v>0</v>
      </c>
      <c r="F139"/>
      <c r="G139" s="2105">
        <f t="shared" si="118"/>
        <v>0</v>
      </c>
      <c r="H139" s="2105">
        <f t="shared" si="118"/>
        <v>0</v>
      </c>
      <c r="I139" s="2105"/>
      <c r="J139" s="2105"/>
      <c r="K139" s="2105">
        <f>IF(スコア!M139=0,0,1)</f>
        <v>1</v>
      </c>
      <c r="L139" s="2105">
        <f>IF(スコア!O139=0,0,1)</f>
        <v>0</v>
      </c>
      <c r="M139" s="2105">
        <f t="shared" si="115"/>
        <v>0</v>
      </c>
      <c r="N139" s="2105">
        <f t="shared" si="116"/>
        <v>0</v>
      </c>
      <c r="O139"/>
      <c r="P139" s="2106" t="str">
        <f t="shared" si="119"/>
        <v>4.2.2</v>
      </c>
      <c r="Q139" s="2106" t="str">
        <f t="shared" si="120"/>
        <v>LR1 4.2</v>
      </c>
      <c r="R139" s="2107" t="str">
        <f t="shared" si="117"/>
        <v>運用管理体制</v>
      </c>
      <c r="S139" s="2108">
        <f t="shared" si="117"/>
        <v>0</v>
      </c>
      <c r="T139" s="2108">
        <f t="shared" si="117"/>
        <v>0</v>
      </c>
      <c r="U139" s="2108">
        <f t="shared" si="117"/>
        <v>0</v>
      </c>
      <c r="V139" s="2108">
        <f t="shared" si="117"/>
        <v>0</v>
      </c>
      <c r="W139" s="2108">
        <f t="shared" si="117"/>
        <v>0</v>
      </c>
      <c r="X139" s="2108">
        <f t="shared" si="117"/>
        <v>0</v>
      </c>
      <c r="Y139" s="2108">
        <f t="shared" si="117"/>
        <v>0.5</v>
      </c>
      <c r="Z139" s="2117">
        <f t="shared" si="117"/>
        <v>0</v>
      </c>
      <c r="AA139" s="2108">
        <f t="shared" si="117"/>
        <v>0</v>
      </c>
      <c r="AB139" s="2108">
        <f t="shared" si="117"/>
        <v>0</v>
      </c>
      <c r="AC139" s="2109">
        <f t="shared" si="117"/>
        <v>0</v>
      </c>
      <c r="AD139" s="2166">
        <f t="shared" si="117"/>
        <v>0</v>
      </c>
      <c r="AE139" s="2166">
        <f t="shared" si="117"/>
        <v>0</v>
      </c>
      <c r="AF139"/>
      <c r="AG139" s="2106" t="s">
        <v>1741</v>
      </c>
      <c r="AH139" s="2110" t="s">
        <v>1744</v>
      </c>
      <c r="AI139" s="2111" t="s">
        <v>1733</v>
      </c>
      <c r="AJ139" s="2113"/>
      <c r="AK139" s="2113"/>
      <c r="AL139" s="2113"/>
      <c r="AM139" s="2113"/>
      <c r="AN139" s="2113"/>
      <c r="AO139" s="2113"/>
      <c r="AP139" s="2113">
        <v>0.5</v>
      </c>
      <c r="AQ139" s="2120"/>
      <c r="AR139" s="2113"/>
      <c r="AS139" s="2113"/>
      <c r="AT139" s="2114"/>
      <c r="AU139" s="2168"/>
      <c r="AV139" s="2168"/>
      <c r="AW139"/>
      <c r="AX139" s="2106" t="s">
        <v>1741</v>
      </c>
      <c r="AY139" s="2110" t="s">
        <v>1744</v>
      </c>
      <c r="AZ139" s="2111" t="s">
        <v>1106</v>
      </c>
      <c r="BA139" s="2113"/>
      <c r="BB139" s="2113"/>
      <c r="BC139" s="2113"/>
      <c r="BD139" s="2113"/>
      <c r="BE139" s="2113"/>
      <c r="BF139" s="2113"/>
      <c r="BG139" s="2113">
        <v>0.5</v>
      </c>
      <c r="BH139" s="2120"/>
      <c r="BI139" s="2113"/>
      <c r="BJ139" s="2113"/>
      <c r="BK139" s="2114"/>
      <c r="BL139" s="2168"/>
      <c r="BM139" s="2168"/>
      <c r="BN139"/>
      <c r="BO139" s="2106" t="s">
        <v>1741</v>
      </c>
      <c r="BP139" s="2110" t="s">
        <v>1744</v>
      </c>
      <c r="BQ139" s="2111" t="s">
        <v>1106</v>
      </c>
      <c r="BR139" s="2113"/>
      <c r="BS139" s="2113"/>
      <c r="BT139" s="2113"/>
      <c r="BU139" s="2113"/>
      <c r="BV139" s="2113"/>
      <c r="BW139" s="2113"/>
      <c r="BX139" s="2113">
        <v>0.5</v>
      </c>
      <c r="BY139" s="2120"/>
      <c r="BZ139" s="2113"/>
      <c r="CA139" s="2113"/>
      <c r="CB139" s="2114"/>
      <c r="CC139" s="2168"/>
      <c r="CD139" s="2168"/>
      <c r="CE139" s="2557"/>
      <c r="CF139"/>
    </row>
    <row r="140" spans="1:84" s="1485" customFormat="1">
      <c r="A140"/>
      <c r="B140" s="2080" t="str">
        <f t="shared" si="96"/>
        <v>LR2</v>
      </c>
      <c r="C140" s="2084" t="str">
        <f t="shared" si="78"/>
        <v>資源・マテリアル</v>
      </c>
      <c r="D140" s="2176">
        <f>IF(I$116=0,0,G140/I$116)</f>
        <v>0.3</v>
      </c>
      <c r="E140" s="2083">
        <f>IF(J$116=0,0,H140/J$116)</f>
        <v>0</v>
      </c>
      <c r="F140"/>
      <c r="G140" s="2083">
        <f t="shared" si="79"/>
        <v>0.3</v>
      </c>
      <c r="H140" s="2083">
        <f t="shared" si="80"/>
        <v>0</v>
      </c>
      <c r="I140" s="2083">
        <f>G141+G146+G153</f>
        <v>1</v>
      </c>
      <c r="J140" s="2083">
        <f>H141+H146+H153</f>
        <v>0</v>
      </c>
      <c r="K140" s="2083">
        <f>IF(スコア!Q140=0,0,1)</f>
        <v>1</v>
      </c>
      <c r="L140" s="2083">
        <f>IF(スコア!O140=0,0,1)</f>
        <v>0</v>
      </c>
      <c r="M140" s="2083">
        <f t="shared" si="81"/>
        <v>0.3</v>
      </c>
      <c r="N140" s="2083">
        <f t="shared" si="98"/>
        <v>0</v>
      </c>
      <c r="O140"/>
      <c r="P140" s="2182" t="str">
        <f t="shared" si="119"/>
        <v>LR2</v>
      </c>
      <c r="Q140" s="2182" t="str">
        <f t="shared" si="120"/>
        <v>LR</v>
      </c>
      <c r="R140" s="2084" t="str">
        <f t="shared" si="99"/>
        <v>資源・マテリアル</v>
      </c>
      <c r="S140" s="2085">
        <f t="shared" si="104"/>
        <v>0.3</v>
      </c>
      <c r="T140" s="2085">
        <f t="shared" si="105"/>
        <v>0.3</v>
      </c>
      <c r="U140" s="2085">
        <f t="shared" si="106"/>
        <v>0.3</v>
      </c>
      <c r="V140" s="2085">
        <f t="shared" si="107"/>
        <v>0.3</v>
      </c>
      <c r="W140" s="2085">
        <f t="shared" si="108"/>
        <v>0.3</v>
      </c>
      <c r="X140" s="2085">
        <f t="shared" si="109"/>
        <v>0.3</v>
      </c>
      <c r="Y140" s="2085">
        <f t="shared" si="110"/>
        <v>0.3</v>
      </c>
      <c r="Z140" s="2183">
        <f t="shared" si="111"/>
        <v>0.3</v>
      </c>
      <c r="AA140" s="2085">
        <f t="shared" si="112"/>
        <v>0.3</v>
      </c>
      <c r="AB140" s="2085">
        <f t="shared" si="113"/>
        <v>0.3</v>
      </c>
      <c r="AC140" s="2184">
        <f t="shared" si="100"/>
        <v>0</v>
      </c>
      <c r="AD140" s="2185">
        <f t="shared" si="101"/>
        <v>0</v>
      </c>
      <c r="AE140" s="2185">
        <f t="shared" si="102"/>
        <v>0</v>
      </c>
      <c r="AF140"/>
      <c r="AG140" s="2182" t="s">
        <v>2089</v>
      </c>
      <c r="AH140" s="2186" t="s">
        <v>1542</v>
      </c>
      <c r="AI140" s="2084" t="s">
        <v>2090</v>
      </c>
      <c r="AJ140" s="2088">
        <v>0.3</v>
      </c>
      <c r="AK140" s="2088">
        <v>0.3</v>
      </c>
      <c r="AL140" s="2088">
        <v>0.3</v>
      </c>
      <c r="AM140" s="2088">
        <v>0.3</v>
      </c>
      <c r="AN140" s="2088">
        <v>0.3</v>
      </c>
      <c r="AO140" s="2088">
        <v>0.3</v>
      </c>
      <c r="AP140" s="2088">
        <v>0.3</v>
      </c>
      <c r="AQ140" s="2187">
        <v>0.3</v>
      </c>
      <c r="AR140" s="2088">
        <v>0.3</v>
      </c>
      <c r="AS140" s="2088">
        <v>0.3</v>
      </c>
      <c r="AT140" s="2188"/>
      <c r="AU140" s="2189"/>
      <c r="AV140" s="2189"/>
      <c r="AW140"/>
      <c r="AX140" s="2182" t="s">
        <v>2089</v>
      </c>
      <c r="AY140" s="2186" t="s">
        <v>1542</v>
      </c>
      <c r="AZ140" s="2084" t="s">
        <v>2090</v>
      </c>
      <c r="BA140" s="2088">
        <v>0.3</v>
      </c>
      <c r="BB140" s="2088">
        <v>0.3</v>
      </c>
      <c r="BC140" s="2088">
        <v>0.3</v>
      </c>
      <c r="BD140" s="2088">
        <v>0.3</v>
      </c>
      <c r="BE140" s="2088">
        <v>0.3</v>
      </c>
      <c r="BF140" s="2088">
        <v>0.3</v>
      </c>
      <c r="BG140" s="2088">
        <v>0.3</v>
      </c>
      <c r="BH140" s="2187">
        <v>0.3</v>
      </c>
      <c r="BI140" s="2088">
        <v>0.3</v>
      </c>
      <c r="BJ140" s="2088">
        <v>0.3</v>
      </c>
      <c r="BK140" s="2188"/>
      <c r="BL140" s="2189"/>
      <c r="BM140" s="2189"/>
      <c r="BN140"/>
      <c r="BO140" s="2182" t="s">
        <v>2089</v>
      </c>
      <c r="BP140" s="2186" t="s">
        <v>1542</v>
      </c>
      <c r="BQ140" s="2084" t="s">
        <v>2090</v>
      </c>
      <c r="BR140" s="2088">
        <v>0.3</v>
      </c>
      <c r="BS140" s="2088">
        <v>0.3</v>
      </c>
      <c r="BT140" s="2088">
        <v>0.3</v>
      </c>
      <c r="BU140" s="2088">
        <v>0.3</v>
      </c>
      <c r="BV140" s="2088">
        <v>0.3</v>
      </c>
      <c r="BW140" s="2088">
        <v>0.3</v>
      </c>
      <c r="BX140" s="2088">
        <v>0.3</v>
      </c>
      <c r="BY140" s="2187">
        <v>0.3</v>
      </c>
      <c r="BZ140" s="2088">
        <v>0.3</v>
      </c>
      <c r="CA140" s="2088">
        <v>0.3</v>
      </c>
      <c r="CB140" s="2188"/>
      <c r="CC140" s="2189"/>
      <c r="CD140" s="2189"/>
      <c r="CE140" s="2558"/>
      <c r="CF140"/>
    </row>
    <row r="141" spans="1:84" s="1485" customFormat="1">
      <c r="A141"/>
      <c r="B141" s="2080">
        <f t="shared" si="96"/>
        <v>1</v>
      </c>
      <c r="C141" s="2095" t="str">
        <f t="shared" ref="C141:C172" si="121">R141</f>
        <v>水資源保護</v>
      </c>
      <c r="D141" s="2091">
        <f>IF(I$140=0,0,G141/I$140)</f>
        <v>0.2</v>
      </c>
      <c r="E141" s="2092">
        <f>IF(J$140=0,0,H141/J$140)</f>
        <v>0</v>
      </c>
      <c r="F141"/>
      <c r="G141" s="2092">
        <f t="shared" ref="G141:G172" si="122">K141*M141</f>
        <v>0.2</v>
      </c>
      <c r="H141" s="2092">
        <f t="shared" ref="H141:H172" si="123">L141*N141</f>
        <v>0</v>
      </c>
      <c r="I141" s="2092">
        <f>G142+G143</f>
        <v>1</v>
      </c>
      <c r="J141" s="2092">
        <f>H142+H143</f>
        <v>0</v>
      </c>
      <c r="K141" s="2092">
        <f>IF(スコア!M141=0,0,1)</f>
        <v>1</v>
      </c>
      <c r="L141" s="2092">
        <f>IF(スコア!O141=0,0,1)</f>
        <v>0</v>
      </c>
      <c r="M141" s="2092">
        <f t="shared" ref="M141:M172" si="124">SUMPRODUCT($S$7:$AB$7,S141:AB141)</f>
        <v>0.2</v>
      </c>
      <c r="N141" s="2092">
        <f t="shared" si="98"/>
        <v>0</v>
      </c>
      <c r="O141"/>
      <c r="P141" s="2177">
        <f t="shared" si="119"/>
        <v>1</v>
      </c>
      <c r="Q141" s="2094" t="str">
        <f t="shared" si="120"/>
        <v>LR2</v>
      </c>
      <c r="R141" s="2095" t="str">
        <f t="shared" si="99"/>
        <v>水資源保護</v>
      </c>
      <c r="S141" s="2096">
        <f t="shared" si="104"/>
        <v>0.2</v>
      </c>
      <c r="T141" s="2096">
        <f t="shared" si="105"/>
        <v>0.2</v>
      </c>
      <c r="U141" s="2096">
        <f t="shared" si="106"/>
        <v>0.2</v>
      </c>
      <c r="V141" s="2096">
        <f t="shared" si="107"/>
        <v>0.2</v>
      </c>
      <c r="W141" s="2096">
        <f t="shared" si="108"/>
        <v>0.2</v>
      </c>
      <c r="X141" s="2096">
        <f t="shared" si="109"/>
        <v>0.2</v>
      </c>
      <c r="Y141" s="2096">
        <f t="shared" si="110"/>
        <v>0.2</v>
      </c>
      <c r="Z141" s="2160">
        <f t="shared" si="111"/>
        <v>0.2</v>
      </c>
      <c r="AA141" s="2096">
        <f t="shared" si="112"/>
        <v>0.2</v>
      </c>
      <c r="AB141" s="2096">
        <f t="shared" si="113"/>
        <v>0.2</v>
      </c>
      <c r="AC141" s="2190">
        <f t="shared" si="100"/>
        <v>0</v>
      </c>
      <c r="AD141" s="2191">
        <f t="shared" si="101"/>
        <v>0</v>
      </c>
      <c r="AE141" s="2191">
        <f t="shared" si="102"/>
        <v>0</v>
      </c>
      <c r="AF141"/>
      <c r="AG141" s="2177">
        <v>1</v>
      </c>
      <c r="AH141" s="2099" t="s">
        <v>1724</v>
      </c>
      <c r="AI141" s="2095" t="s">
        <v>1391</v>
      </c>
      <c r="AJ141" s="2100">
        <v>0.2</v>
      </c>
      <c r="AK141" s="2100">
        <v>0.2</v>
      </c>
      <c r="AL141" s="2100">
        <v>0.2</v>
      </c>
      <c r="AM141" s="2100">
        <v>0.2</v>
      </c>
      <c r="AN141" s="2100">
        <v>0.2</v>
      </c>
      <c r="AO141" s="2100">
        <v>0.2</v>
      </c>
      <c r="AP141" s="2100">
        <v>0.2</v>
      </c>
      <c r="AQ141" s="2161">
        <v>0.2</v>
      </c>
      <c r="AR141" s="2100">
        <v>0.2</v>
      </c>
      <c r="AS141" s="2100">
        <v>0.2</v>
      </c>
      <c r="AT141" s="2192"/>
      <c r="AU141" s="2193"/>
      <c r="AV141" s="2193"/>
      <c r="AW141"/>
      <c r="AX141" s="2177">
        <v>1</v>
      </c>
      <c r="AY141" s="2099" t="s">
        <v>1724</v>
      </c>
      <c r="AZ141" s="2095" t="s">
        <v>1391</v>
      </c>
      <c r="BA141" s="2100">
        <v>0.2</v>
      </c>
      <c r="BB141" s="2100">
        <v>0.2</v>
      </c>
      <c r="BC141" s="2100">
        <v>0.2</v>
      </c>
      <c r="BD141" s="2100">
        <v>0.2</v>
      </c>
      <c r="BE141" s="2100">
        <v>0.2</v>
      </c>
      <c r="BF141" s="2100">
        <v>0.2</v>
      </c>
      <c r="BG141" s="2100">
        <v>0.2</v>
      </c>
      <c r="BH141" s="2161">
        <v>0.2</v>
      </c>
      <c r="BI141" s="2100">
        <v>0.2</v>
      </c>
      <c r="BJ141" s="2100">
        <v>0.2</v>
      </c>
      <c r="BK141" s="2192"/>
      <c r="BL141" s="2193"/>
      <c r="BM141" s="2193"/>
      <c r="BN141"/>
      <c r="BO141" s="2177">
        <v>1</v>
      </c>
      <c r="BP141" s="2099" t="s">
        <v>1724</v>
      </c>
      <c r="BQ141" s="2095" t="s">
        <v>1391</v>
      </c>
      <c r="BR141" s="2100">
        <v>0.2</v>
      </c>
      <c r="BS141" s="2100">
        <v>0.2</v>
      </c>
      <c r="BT141" s="2100">
        <v>0.2</v>
      </c>
      <c r="BU141" s="2100">
        <v>0.2</v>
      </c>
      <c r="BV141" s="2100">
        <v>0.2</v>
      </c>
      <c r="BW141" s="2100">
        <v>0.2</v>
      </c>
      <c r="BX141" s="2100">
        <v>0.2</v>
      </c>
      <c r="BY141" s="2161">
        <v>0.2</v>
      </c>
      <c r="BZ141" s="2100">
        <v>0.2</v>
      </c>
      <c r="CA141" s="2100">
        <v>0.2</v>
      </c>
      <c r="CB141" s="2192"/>
      <c r="CC141" s="2193"/>
      <c r="CD141" s="2193"/>
      <c r="CE141" s="2558"/>
      <c r="CF141"/>
    </row>
    <row r="142" spans="1:84">
      <c r="B142" s="2080">
        <f t="shared" si="96"/>
        <v>1.1000000000000001</v>
      </c>
      <c r="C142" s="2103" t="str">
        <f t="shared" si="121"/>
        <v>節水</v>
      </c>
      <c r="D142" s="2104">
        <f>IF(I$141=0,0,G142/I$141)</f>
        <v>0.4</v>
      </c>
      <c r="E142" s="2105">
        <f>IF(J$141=0,0,H142/J$141)</f>
        <v>0</v>
      </c>
      <c r="G142" s="2105">
        <f t="shared" si="122"/>
        <v>0.4</v>
      </c>
      <c r="H142" s="2105">
        <f t="shared" si="123"/>
        <v>0</v>
      </c>
      <c r="I142" s="2105"/>
      <c r="J142" s="2105"/>
      <c r="K142" s="2105">
        <f>IF(スコア!M142=0,0,1)</f>
        <v>1</v>
      </c>
      <c r="L142" s="2105">
        <f>IF(スコア!O142=0,0,1)</f>
        <v>0</v>
      </c>
      <c r="M142" s="2105">
        <f t="shared" si="124"/>
        <v>0.4</v>
      </c>
      <c r="N142" s="2105">
        <f t="shared" si="98"/>
        <v>0</v>
      </c>
      <c r="P142" s="2106">
        <f t="shared" si="119"/>
        <v>1.1000000000000001</v>
      </c>
      <c r="Q142" s="2106" t="str">
        <f t="shared" si="120"/>
        <v>LR2 1</v>
      </c>
      <c r="R142" s="2107" t="str">
        <f t="shared" si="99"/>
        <v>節水</v>
      </c>
      <c r="S142" s="2108">
        <f t="shared" si="104"/>
        <v>0.4</v>
      </c>
      <c r="T142" s="2108">
        <f t="shared" si="105"/>
        <v>0.4</v>
      </c>
      <c r="U142" s="2108">
        <f t="shared" si="106"/>
        <v>0.4</v>
      </c>
      <c r="V142" s="2108">
        <f t="shared" si="107"/>
        <v>0.4</v>
      </c>
      <c r="W142" s="2108">
        <f t="shared" si="108"/>
        <v>0.4</v>
      </c>
      <c r="X142" s="2108">
        <f t="shared" si="109"/>
        <v>0.4</v>
      </c>
      <c r="Y142" s="2108">
        <f t="shared" si="110"/>
        <v>0.4</v>
      </c>
      <c r="Z142" s="2117">
        <f t="shared" si="111"/>
        <v>0.4</v>
      </c>
      <c r="AA142" s="2108">
        <f t="shared" si="112"/>
        <v>0.4</v>
      </c>
      <c r="AB142" s="2108">
        <f t="shared" si="113"/>
        <v>0.4</v>
      </c>
      <c r="AC142" s="2194">
        <f t="shared" si="100"/>
        <v>0</v>
      </c>
      <c r="AD142" s="2127">
        <f t="shared" si="101"/>
        <v>0</v>
      </c>
      <c r="AE142" s="2127">
        <f t="shared" si="102"/>
        <v>0</v>
      </c>
      <c r="AG142" s="2106">
        <v>1.1000000000000001</v>
      </c>
      <c r="AH142" s="2110" t="s">
        <v>182</v>
      </c>
      <c r="AI142" s="2111" t="s">
        <v>1392</v>
      </c>
      <c r="AJ142" s="2113">
        <v>0.4</v>
      </c>
      <c r="AK142" s="2113">
        <v>0.4</v>
      </c>
      <c r="AL142" s="2113">
        <v>0.4</v>
      </c>
      <c r="AM142" s="2113">
        <v>0.4</v>
      </c>
      <c r="AN142" s="2113">
        <v>0.4</v>
      </c>
      <c r="AO142" s="2113">
        <v>0.4</v>
      </c>
      <c r="AP142" s="2113">
        <v>0.4</v>
      </c>
      <c r="AQ142" s="2120">
        <v>0.4</v>
      </c>
      <c r="AR142" s="2113">
        <v>0.4</v>
      </c>
      <c r="AS142" s="2113">
        <v>0.4</v>
      </c>
      <c r="AT142" s="2195"/>
      <c r="AU142" s="2129"/>
      <c r="AV142" s="2129"/>
      <c r="AX142" s="2106">
        <v>1.1000000000000001</v>
      </c>
      <c r="AY142" s="2110" t="s">
        <v>182</v>
      </c>
      <c r="AZ142" s="2111" t="s">
        <v>1392</v>
      </c>
      <c r="BA142" s="2113">
        <v>0.4</v>
      </c>
      <c r="BB142" s="2113">
        <v>0.4</v>
      </c>
      <c r="BC142" s="2113">
        <v>0.4</v>
      </c>
      <c r="BD142" s="2113">
        <v>0.4</v>
      </c>
      <c r="BE142" s="2113">
        <v>0.4</v>
      </c>
      <c r="BF142" s="2113">
        <v>0.4</v>
      </c>
      <c r="BG142" s="2113">
        <v>0.4</v>
      </c>
      <c r="BH142" s="2120">
        <v>0.4</v>
      </c>
      <c r="BI142" s="2113">
        <v>0.4</v>
      </c>
      <c r="BJ142" s="2113">
        <v>0.4</v>
      </c>
      <c r="BK142" s="2195"/>
      <c r="BL142" s="2129"/>
      <c r="BM142" s="2129"/>
      <c r="BO142" s="2106">
        <v>1.1000000000000001</v>
      </c>
      <c r="BP142" s="2110" t="s">
        <v>182</v>
      </c>
      <c r="BQ142" s="2111" t="s">
        <v>1392</v>
      </c>
      <c r="BR142" s="2113">
        <v>0.4</v>
      </c>
      <c r="BS142" s="2113">
        <v>0.4</v>
      </c>
      <c r="BT142" s="2113">
        <v>0.4</v>
      </c>
      <c r="BU142" s="2113">
        <v>0.4</v>
      </c>
      <c r="BV142" s="2113">
        <v>0.4</v>
      </c>
      <c r="BW142" s="2113">
        <v>0.4</v>
      </c>
      <c r="BX142" s="2113">
        <v>0.4</v>
      </c>
      <c r="BY142" s="2120">
        <v>0.4</v>
      </c>
      <c r="BZ142" s="2113">
        <v>0.4</v>
      </c>
      <c r="CA142" s="2113">
        <v>0.4</v>
      </c>
      <c r="CB142" s="2195"/>
      <c r="CC142" s="2129"/>
      <c r="CD142" s="2129"/>
      <c r="CE142" s="2548"/>
    </row>
    <row r="143" spans="1:84">
      <c r="B143" s="2080">
        <f t="shared" ref="B143:B174" si="125">P143</f>
        <v>1.2</v>
      </c>
      <c r="C143" s="2107" t="str">
        <f t="shared" si="121"/>
        <v>雨水利用・雑排水再利用</v>
      </c>
      <c r="D143" s="2104">
        <f>IF(I$141=0,0,G143/I$141)</f>
        <v>0.6</v>
      </c>
      <c r="E143" s="2105">
        <f>IF(J$141=0,0,H143/J$141)</f>
        <v>0</v>
      </c>
      <c r="G143" s="2105">
        <f>K143*M143</f>
        <v>0.6</v>
      </c>
      <c r="H143" s="2105">
        <f t="shared" si="123"/>
        <v>0</v>
      </c>
      <c r="I143" s="2105">
        <f>SUM(G144:G145)</f>
        <v>1</v>
      </c>
      <c r="J143" s="2105">
        <f>SUM(H144:H145)</f>
        <v>0</v>
      </c>
      <c r="K143" s="2105">
        <f>IF(スコア!M143=0,0,1)</f>
        <v>1</v>
      </c>
      <c r="L143" s="2105">
        <f>IF(スコア!O143=0,0,1)</f>
        <v>0</v>
      </c>
      <c r="M143" s="2105">
        <f>SUMPRODUCT($S$7:$AB$7,S143:AB143)</f>
        <v>0.6</v>
      </c>
      <c r="N143" s="2105">
        <f t="shared" si="98"/>
        <v>0</v>
      </c>
      <c r="P143" s="2179">
        <f t="shared" si="119"/>
        <v>1.2</v>
      </c>
      <c r="Q143" s="2106" t="str">
        <f t="shared" si="120"/>
        <v>LR2 1</v>
      </c>
      <c r="R143" s="2107" t="str">
        <f t="shared" si="99"/>
        <v>雨水利用・雑排水再利用</v>
      </c>
      <c r="S143" s="2108">
        <f t="shared" si="104"/>
        <v>0.6</v>
      </c>
      <c r="T143" s="2108">
        <f t="shared" si="105"/>
        <v>0.6</v>
      </c>
      <c r="U143" s="2108">
        <f t="shared" si="106"/>
        <v>0.6</v>
      </c>
      <c r="V143" s="2108">
        <f t="shared" si="107"/>
        <v>0.6</v>
      </c>
      <c r="W143" s="2108">
        <f t="shared" si="108"/>
        <v>0.6</v>
      </c>
      <c r="X143" s="2108">
        <f t="shared" si="109"/>
        <v>0.6</v>
      </c>
      <c r="Y143" s="2108">
        <f t="shared" si="110"/>
        <v>0.6</v>
      </c>
      <c r="Z143" s="2117">
        <f t="shared" si="111"/>
        <v>0.6</v>
      </c>
      <c r="AA143" s="2108">
        <f t="shared" si="112"/>
        <v>0.6</v>
      </c>
      <c r="AB143" s="2108">
        <f t="shared" si="113"/>
        <v>0.6</v>
      </c>
      <c r="AC143" s="2194">
        <f t="shared" si="100"/>
        <v>0</v>
      </c>
      <c r="AD143" s="2127">
        <f t="shared" si="101"/>
        <v>0</v>
      </c>
      <c r="AE143" s="2127">
        <f t="shared" si="102"/>
        <v>0</v>
      </c>
      <c r="AG143" s="2179">
        <v>1.2</v>
      </c>
      <c r="AH143" s="2110" t="s">
        <v>182</v>
      </c>
      <c r="AI143" s="2107" t="s">
        <v>183</v>
      </c>
      <c r="AJ143" s="2113">
        <v>0.6</v>
      </c>
      <c r="AK143" s="2113">
        <v>0.6</v>
      </c>
      <c r="AL143" s="2113">
        <v>0.6</v>
      </c>
      <c r="AM143" s="2113">
        <v>0.6</v>
      </c>
      <c r="AN143" s="2113">
        <v>0.6</v>
      </c>
      <c r="AO143" s="2113">
        <v>0.6</v>
      </c>
      <c r="AP143" s="2113">
        <v>0.6</v>
      </c>
      <c r="AQ143" s="2120">
        <v>0.6</v>
      </c>
      <c r="AR143" s="2113">
        <v>0.6</v>
      </c>
      <c r="AS143" s="2113">
        <v>0.6</v>
      </c>
      <c r="AT143" s="2195"/>
      <c r="AU143" s="2129"/>
      <c r="AV143" s="2129"/>
      <c r="AX143" s="2179">
        <v>1.2</v>
      </c>
      <c r="AY143" s="2110" t="s">
        <v>182</v>
      </c>
      <c r="AZ143" s="2107" t="s">
        <v>183</v>
      </c>
      <c r="BA143" s="2113">
        <v>0.6</v>
      </c>
      <c r="BB143" s="2113">
        <v>0.6</v>
      </c>
      <c r="BC143" s="2113">
        <v>0.6</v>
      </c>
      <c r="BD143" s="2113">
        <v>0.6</v>
      </c>
      <c r="BE143" s="2113">
        <v>0.6</v>
      </c>
      <c r="BF143" s="2113">
        <v>0.6</v>
      </c>
      <c r="BG143" s="2113">
        <v>0.6</v>
      </c>
      <c r="BH143" s="2120">
        <v>0.6</v>
      </c>
      <c r="BI143" s="2113">
        <v>0.6</v>
      </c>
      <c r="BJ143" s="2113">
        <v>0.6</v>
      </c>
      <c r="BK143" s="2195"/>
      <c r="BL143" s="2129"/>
      <c r="BM143" s="2129"/>
      <c r="BO143" s="2179">
        <v>1.2</v>
      </c>
      <c r="BP143" s="2110" t="s">
        <v>182</v>
      </c>
      <c r="BQ143" s="2107" t="s">
        <v>183</v>
      </c>
      <c r="BR143" s="2113">
        <v>0.6</v>
      </c>
      <c r="BS143" s="2113">
        <v>0.6</v>
      </c>
      <c r="BT143" s="2113">
        <v>0.6</v>
      </c>
      <c r="BU143" s="2113">
        <v>0.6</v>
      </c>
      <c r="BV143" s="2113">
        <v>0.6</v>
      </c>
      <c r="BW143" s="2113">
        <v>0.6</v>
      </c>
      <c r="BX143" s="2113">
        <v>0.6</v>
      </c>
      <c r="BY143" s="2120">
        <v>0.6</v>
      </c>
      <c r="BZ143" s="2113">
        <v>0.6</v>
      </c>
      <c r="CA143" s="2113">
        <v>0.6</v>
      </c>
      <c r="CB143" s="2195"/>
      <c r="CC143" s="2129"/>
      <c r="CD143" s="2129"/>
      <c r="CE143" s="2548"/>
    </row>
    <row r="144" spans="1:84">
      <c r="B144" s="2080" t="str">
        <f t="shared" si="125"/>
        <v>1.2.1</v>
      </c>
      <c r="C144" s="2103" t="str">
        <f t="shared" si="121"/>
        <v>雨水利用システム導入の有無</v>
      </c>
      <c r="D144" s="2093">
        <f>IF(I$143&gt;0,G144/I$143,0)</f>
        <v>0.7</v>
      </c>
      <c r="E144" s="2105">
        <f>IF(J$143&gt;0,H144/J$143,0)</f>
        <v>0</v>
      </c>
      <c r="G144" s="2105">
        <f t="shared" si="122"/>
        <v>0.7</v>
      </c>
      <c r="H144" s="2105">
        <f t="shared" si="123"/>
        <v>0</v>
      </c>
      <c r="I144" s="2105"/>
      <c r="J144" s="2105"/>
      <c r="K144" s="2105">
        <f>IF(スコア!M144=0,0,1)</f>
        <v>1</v>
      </c>
      <c r="L144" s="2105">
        <f>IF(スコア!O144=0,0,1)</f>
        <v>0</v>
      </c>
      <c r="M144" s="2105">
        <f>SUMPRODUCT($S$7:$AB$7,S144:AB144)</f>
        <v>0.7</v>
      </c>
      <c r="N144" s="2105">
        <f t="shared" si="98"/>
        <v>0</v>
      </c>
      <c r="P144" s="2106" t="str">
        <f t="shared" si="119"/>
        <v>1.2.1</v>
      </c>
      <c r="Q144" s="2106" t="str">
        <f t="shared" si="120"/>
        <v>LR2 1.2</v>
      </c>
      <c r="R144" s="2107" t="str">
        <f t="shared" si="99"/>
        <v>雨水利用システム導入の有無</v>
      </c>
      <c r="S144" s="2108">
        <f t="shared" si="104"/>
        <v>0.7</v>
      </c>
      <c r="T144" s="2108">
        <f t="shared" si="105"/>
        <v>0.7</v>
      </c>
      <c r="U144" s="2108">
        <f t="shared" si="106"/>
        <v>0.7</v>
      </c>
      <c r="V144" s="2108">
        <f t="shared" si="107"/>
        <v>0.7</v>
      </c>
      <c r="W144" s="2108">
        <f t="shared" si="108"/>
        <v>0.7</v>
      </c>
      <c r="X144" s="2108">
        <f t="shared" si="109"/>
        <v>0.7</v>
      </c>
      <c r="Y144" s="2108">
        <f t="shared" si="110"/>
        <v>0.7</v>
      </c>
      <c r="Z144" s="2117">
        <f t="shared" si="111"/>
        <v>0.7</v>
      </c>
      <c r="AA144" s="2108">
        <f t="shared" si="112"/>
        <v>0.7</v>
      </c>
      <c r="AB144" s="2108">
        <f t="shared" si="113"/>
        <v>0.7</v>
      </c>
      <c r="AC144" s="2194">
        <f t="shared" si="100"/>
        <v>0</v>
      </c>
      <c r="AD144" s="2127">
        <f t="shared" si="101"/>
        <v>0</v>
      </c>
      <c r="AE144" s="2127">
        <f t="shared" si="102"/>
        <v>0</v>
      </c>
      <c r="AG144" s="2106" t="s">
        <v>3041</v>
      </c>
      <c r="AH144" s="2110" t="s">
        <v>184</v>
      </c>
      <c r="AI144" s="2111" t="s">
        <v>3042</v>
      </c>
      <c r="AJ144" s="2113">
        <v>0.7</v>
      </c>
      <c r="AK144" s="2113">
        <v>0.7</v>
      </c>
      <c r="AL144" s="2113">
        <v>0.7</v>
      </c>
      <c r="AM144" s="2113">
        <v>0.7</v>
      </c>
      <c r="AN144" s="2113">
        <v>0.7</v>
      </c>
      <c r="AO144" s="2113">
        <v>0.7</v>
      </c>
      <c r="AP144" s="2113">
        <v>0.7</v>
      </c>
      <c r="AQ144" s="2120">
        <v>0.7</v>
      </c>
      <c r="AR144" s="2113">
        <v>0.7</v>
      </c>
      <c r="AS144" s="2113">
        <v>0.7</v>
      </c>
      <c r="AT144" s="2195"/>
      <c r="AU144" s="2129"/>
      <c r="AV144" s="2129"/>
      <c r="AX144" s="2106" t="s">
        <v>3041</v>
      </c>
      <c r="AY144" s="2110" t="s">
        <v>184</v>
      </c>
      <c r="AZ144" s="2111" t="s">
        <v>3042</v>
      </c>
      <c r="BA144" s="2113">
        <v>0.7</v>
      </c>
      <c r="BB144" s="2113">
        <v>0.7</v>
      </c>
      <c r="BC144" s="2113">
        <v>0.7</v>
      </c>
      <c r="BD144" s="2113">
        <v>0.7</v>
      </c>
      <c r="BE144" s="2113">
        <v>0.7</v>
      </c>
      <c r="BF144" s="2113">
        <v>0.7</v>
      </c>
      <c r="BG144" s="2113">
        <v>0.7</v>
      </c>
      <c r="BH144" s="2120">
        <v>0.7</v>
      </c>
      <c r="BI144" s="2113">
        <v>0.7</v>
      </c>
      <c r="BJ144" s="2113">
        <v>0.7</v>
      </c>
      <c r="BK144" s="2195"/>
      <c r="BL144" s="2129"/>
      <c r="BM144" s="2129"/>
      <c r="BO144" s="2106" t="s">
        <v>3041</v>
      </c>
      <c r="BP144" s="2110" t="s">
        <v>184</v>
      </c>
      <c r="BQ144" s="2111" t="s">
        <v>3042</v>
      </c>
      <c r="BR144" s="2113">
        <v>0.7</v>
      </c>
      <c r="BS144" s="2113">
        <v>0.7</v>
      </c>
      <c r="BT144" s="2113">
        <v>0.7</v>
      </c>
      <c r="BU144" s="2113">
        <v>0.7</v>
      </c>
      <c r="BV144" s="2113">
        <v>0.7</v>
      </c>
      <c r="BW144" s="2113">
        <v>0.7</v>
      </c>
      <c r="BX144" s="2113">
        <v>0.7</v>
      </c>
      <c r="BY144" s="2120">
        <v>0.7</v>
      </c>
      <c r="BZ144" s="2113">
        <v>0.7</v>
      </c>
      <c r="CA144" s="2113">
        <v>0.7</v>
      </c>
      <c r="CB144" s="2195"/>
      <c r="CC144" s="2129"/>
      <c r="CD144" s="2129"/>
      <c r="CE144" s="2548"/>
    </row>
    <row r="145" spans="1:84">
      <c r="B145" s="2080" t="str">
        <f t="shared" si="125"/>
        <v>1.2.2</v>
      </c>
      <c r="C145" s="2103" t="str">
        <f t="shared" si="121"/>
        <v>雑排水等再利用システム導入の有無</v>
      </c>
      <c r="D145" s="2093">
        <f>IF(I$143&gt;0,G145/I$143,0)</f>
        <v>0.3</v>
      </c>
      <c r="E145" s="2105">
        <f>IF(J$143&gt;0,H145/J$143,0)</f>
        <v>0</v>
      </c>
      <c r="G145" s="2105">
        <f t="shared" si="122"/>
        <v>0.3</v>
      </c>
      <c r="H145" s="2105">
        <f t="shared" si="123"/>
        <v>0</v>
      </c>
      <c r="I145" s="2105"/>
      <c r="J145" s="2105"/>
      <c r="K145" s="2105">
        <f>IF(スコア!M145=0,0,1)</f>
        <v>1</v>
      </c>
      <c r="L145" s="2105">
        <f>IF(スコア!O145=0,0,1)</f>
        <v>0</v>
      </c>
      <c r="M145" s="2105">
        <f>SUMPRODUCT($S$7:$AB$7,S145:AB145)</f>
        <v>0.3</v>
      </c>
      <c r="N145" s="2105">
        <f t="shared" si="98"/>
        <v>0</v>
      </c>
      <c r="P145" s="2106" t="str">
        <f t="shared" si="119"/>
        <v>1.2.2</v>
      </c>
      <c r="Q145" s="2106" t="str">
        <f t="shared" si="120"/>
        <v>LR2 1.2</v>
      </c>
      <c r="R145" s="2107" t="str">
        <f t="shared" si="99"/>
        <v>雑排水等再利用システム導入の有無</v>
      </c>
      <c r="S145" s="2108">
        <f t="shared" si="104"/>
        <v>0.3</v>
      </c>
      <c r="T145" s="2108">
        <f t="shared" si="105"/>
        <v>0.3</v>
      </c>
      <c r="U145" s="2108">
        <f t="shared" si="106"/>
        <v>0.3</v>
      </c>
      <c r="V145" s="2108">
        <f t="shared" si="107"/>
        <v>0.3</v>
      </c>
      <c r="W145" s="2108">
        <f t="shared" si="108"/>
        <v>0.3</v>
      </c>
      <c r="X145" s="2108">
        <f t="shared" si="109"/>
        <v>0.3</v>
      </c>
      <c r="Y145" s="2108">
        <f t="shared" si="110"/>
        <v>0.3</v>
      </c>
      <c r="Z145" s="2117">
        <f t="shared" si="111"/>
        <v>0.3</v>
      </c>
      <c r="AA145" s="2108">
        <f t="shared" si="112"/>
        <v>0.3</v>
      </c>
      <c r="AB145" s="2108">
        <f t="shared" si="113"/>
        <v>0.3</v>
      </c>
      <c r="AC145" s="2194">
        <f t="shared" si="100"/>
        <v>0</v>
      </c>
      <c r="AD145" s="2127">
        <f t="shared" si="101"/>
        <v>0</v>
      </c>
      <c r="AE145" s="2127">
        <f t="shared" si="102"/>
        <v>0</v>
      </c>
      <c r="AG145" s="2106" t="s">
        <v>3043</v>
      </c>
      <c r="AH145" s="2110" t="s">
        <v>184</v>
      </c>
      <c r="AI145" s="2111" t="s">
        <v>185</v>
      </c>
      <c r="AJ145" s="2113">
        <v>0.3</v>
      </c>
      <c r="AK145" s="2113">
        <v>0.3</v>
      </c>
      <c r="AL145" s="2113">
        <v>0.3</v>
      </c>
      <c r="AM145" s="2113">
        <v>0.3</v>
      </c>
      <c r="AN145" s="2113">
        <v>0.3</v>
      </c>
      <c r="AO145" s="2113">
        <v>0.3</v>
      </c>
      <c r="AP145" s="2113">
        <v>0.3</v>
      </c>
      <c r="AQ145" s="2120">
        <v>0.3</v>
      </c>
      <c r="AR145" s="2113">
        <v>0.3</v>
      </c>
      <c r="AS145" s="2113">
        <v>0.3</v>
      </c>
      <c r="AT145" s="2195"/>
      <c r="AU145" s="2129"/>
      <c r="AV145" s="2129"/>
      <c r="AX145" s="2106" t="s">
        <v>3043</v>
      </c>
      <c r="AY145" s="2110" t="s">
        <v>184</v>
      </c>
      <c r="AZ145" s="2111" t="s">
        <v>185</v>
      </c>
      <c r="BA145" s="2113">
        <v>0.3</v>
      </c>
      <c r="BB145" s="2113">
        <v>0.3</v>
      </c>
      <c r="BC145" s="2113">
        <v>0.3</v>
      </c>
      <c r="BD145" s="2113">
        <v>0.3</v>
      </c>
      <c r="BE145" s="2113">
        <v>0.3</v>
      </c>
      <c r="BF145" s="2113">
        <v>0.3</v>
      </c>
      <c r="BG145" s="2113">
        <v>0.3</v>
      </c>
      <c r="BH145" s="2120">
        <v>0.3</v>
      </c>
      <c r="BI145" s="2113">
        <v>0.3</v>
      </c>
      <c r="BJ145" s="2113">
        <v>0.3</v>
      </c>
      <c r="BK145" s="2195"/>
      <c r="BL145" s="2129"/>
      <c r="BM145" s="2129"/>
      <c r="BO145" s="2106" t="s">
        <v>3043</v>
      </c>
      <c r="BP145" s="2110" t="s">
        <v>184</v>
      </c>
      <c r="BQ145" s="2111" t="s">
        <v>185</v>
      </c>
      <c r="BR145" s="2113">
        <v>0.3</v>
      </c>
      <c r="BS145" s="2113">
        <v>0.3</v>
      </c>
      <c r="BT145" s="2113">
        <v>0.3</v>
      </c>
      <c r="BU145" s="2113">
        <v>0.3</v>
      </c>
      <c r="BV145" s="2113">
        <v>0.3</v>
      </c>
      <c r="BW145" s="2113">
        <v>0.3</v>
      </c>
      <c r="BX145" s="2113">
        <v>0.3</v>
      </c>
      <c r="BY145" s="2120">
        <v>0.3</v>
      </c>
      <c r="BZ145" s="2113">
        <v>0.3</v>
      </c>
      <c r="CA145" s="2113">
        <v>0.3</v>
      </c>
      <c r="CB145" s="2195"/>
      <c r="CC145" s="2129"/>
      <c r="CD145" s="2129"/>
      <c r="CE145" s="2548"/>
    </row>
    <row r="146" spans="1:84" s="1485" customFormat="1">
      <c r="A146"/>
      <c r="B146" s="2080">
        <f t="shared" si="125"/>
        <v>2</v>
      </c>
      <c r="C146" s="2123" t="str">
        <f t="shared" si="121"/>
        <v>非再生性資源の使用量削減</v>
      </c>
      <c r="D146" s="2091">
        <f>IF(I$140=0,0,G146/I$140)</f>
        <v>0.6</v>
      </c>
      <c r="E146" s="2092">
        <f>IF(J$140=0,0,H146/J$140)</f>
        <v>0</v>
      </c>
      <c r="F146"/>
      <c r="G146" s="2092">
        <f t="shared" si="122"/>
        <v>0.6</v>
      </c>
      <c r="H146" s="2092">
        <f t="shared" si="123"/>
        <v>0</v>
      </c>
      <c r="I146" s="2092">
        <f>G147+G148+G149+G150+G151+G152</f>
        <v>1</v>
      </c>
      <c r="J146" s="2092">
        <f>H147+H148+H149+H150+H151+H152</f>
        <v>0</v>
      </c>
      <c r="K146" s="2092">
        <f>IF(スコア!M146=0,0,1)</f>
        <v>1</v>
      </c>
      <c r="L146" s="2092">
        <f>IF(スコア!O146=0,0,1)</f>
        <v>0</v>
      </c>
      <c r="M146" s="2092">
        <f t="shared" si="124"/>
        <v>0.6</v>
      </c>
      <c r="N146" s="2092">
        <f t="shared" si="98"/>
        <v>0</v>
      </c>
      <c r="O146"/>
      <c r="P146" s="2094">
        <f t="shared" si="119"/>
        <v>2</v>
      </c>
      <c r="Q146" s="2094" t="str">
        <f t="shared" si="120"/>
        <v>LR2</v>
      </c>
      <c r="R146" s="2095" t="str">
        <f t="shared" si="99"/>
        <v>非再生性資源の使用量削減</v>
      </c>
      <c r="S146" s="2096">
        <f t="shared" si="104"/>
        <v>0.6</v>
      </c>
      <c r="T146" s="2096">
        <f t="shared" si="105"/>
        <v>0.6</v>
      </c>
      <c r="U146" s="2096">
        <f t="shared" si="106"/>
        <v>0.6</v>
      </c>
      <c r="V146" s="2096">
        <f t="shared" si="107"/>
        <v>0.6</v>
      </c>
      <c r="W146" s="2096">
        <f t="shared" si="108"/>
        <v>0.6</v>
      </c>
      <c r="X146" s="2096">
        <f t="shared" si="109"/>
        <v>0.6</v>
      </c>
      <c r="Y146" s="2096">
        <f t="shared" si="110"/>
        <v>0.6</v>
      </c>
      <c r="Z146" s="2160">
        <f t="shared" si="111"/>
        <v>0.6</v>
      </c>
      <c r="AA146" s="2096">
        <f t="shared" si="112"/>
        <v>0.6</v>
      </c>
      <c r="AB146" s="2096">
        <f t="shared" si="113"/>
        <v>0.6</v>
      </c>
      <c r="AC146" s="2190">
        <f t="shared" si="100"/>
        <v>0</v>
      </c>
      <c r="AD146" s="2191">
        <f t="shared" si="101"/>
        <v>0</v>
      </c>
      <c r="AE146" s="2191">
        <f t="shared" si="102"/>
        <v>0</v>
      </c>
      <c r="AF146"/>
      <c r="AG146" s="2094">
        <v>2</v>
      </c>
      <c r="AH146" s="2099" t="s">
        <v>1724</v>
      </c>
      <c r="AI146" s="2123" t="s">
        <v>1396</v>
      </c>
      <c r="AJ146" s="2100">
        <v>0.6</v>
      </c>
      <c r="AK146" s="2100">
        <v>0.6</v>
      </c>
      <c r="AL146" s="2100">
        <v>0.6</v>
      </c>
      <c r="AM146" s="2100">
        <v>0.6</v>
      </c>
      <c r="AN146" s="2100">
        <v>0.6</v>
      </c>
      <c r="AO146" s="2100">
        <v>0.6</v>
      </c>
      <c r="AP146" s="2100">
        <v>0.6</v>
      </c>
      <c r="AQ146" s="2100">
        <v>0.6</v>
      </c>
      <c r="AR146" s="2100">
        <v>0.6</v>
      </c>
      <c r="AS146" s="2100">
        <v>0.6</v>
      </c>
      <c r="AT146" s="2192"/>
      <c r="AU146" s="2193"/>
      <c r="AV146" s="2193"/>
      <c r="AW146"/>
      <c r="AX146" s="2094">
        <v>2</v>
      </c>
      <c r="AY146" s="2099" t="s">
        <v>1724</v>
      </c>
      <c r="AZ146" s="2123" t="s">
        <v>1396</v>
      </c>
      <c r="BA146" s="2100">
        <v>0.6</v>
      </c>
      <c r="BB146" s="2100">
        <v>0.6</v>
      </c>
      <c r="BC146" s="2100">
        <v>0.6</v>
      </c>
      <c r="BD146" s="2100">
        <v>0.6</v>
      </c>
      <c r="BE146" s="2100">
        <v>0.6</v>
      </c>
      <c r="BF146" s="2100">
        <v>0.6</v>
      </c>
      <c r="BG146" s="2100">
        <v>0.6</v>
      </c>
      <c r="BH146" s="2100">
        <v>0.6</v>
      </c>
      <c r="BI146" s="2100">
        <v>0.6</v>
      </c>
      <c r="BJ146" s="2100">
        <v>0.6</v>
      </c>
      <c r="BK146" s="2192"/>
      <c r="BL146" s="2193"/>
      <c r="BM146" s="2193"/>
      <c r="BN146"/>
      <c r="BO146" s="2094">
        <v>2</v>
      </c>
      <c r="BP146" s="2099" t="s">
        <v>1724</v>
      </c>
      <c r="BQ146" s="2123" t="s">
        <v>1396</v>
      </c>
      <c r="BR146" s="2100">
        <v>0.6</v>
      </c>
      <c r="BS146" s="2100">
        <v>0.6</v>
      </c>
      <c r="BT146" s="2100">
        <v>0.6</v>
      </c>
      <c r="BU146" s="2100">
        <v>0.6</v>
      </c>
      <c r="BV146" s="2100">
        <v>0.6</v>
      </c>
      <c r="BW146" s="2100">
        <v>0.6</v>
      </c>
      <c r="BX146" s="2100">
        <v>0.6</v>
      </c>
      <c r="BY146" s="2100">
        <v>0.6</v>
      </c>
      <c r="BZ146" s="2100">
        <v>0.6</v>
      </c>
      <c r="CA146" s="2100">
        <v>0.6</v>
      </c>
      <c r="CB146" s="2192"/>
      <c r="CC146" s="2193"/>
      <c r="CD146" s="2193"/>
      <c r="CE146" s="2558"/>
      <c r="CF146"/>
    </row>
    <row r="147" spans="1:84" s="1485" customFormat="1">
      <c r="A147"/>
      <c r="B147" s="2080" t="str">
        <f t="shared" si="125"/>
        <v>2.1</v>
      </c>
      <c r="C147" s="2107" t="str">
        <f t="shared" si="121"/>
        <v>材料使用量の削減</v>
      </c>
      <c r="D147" s="2104">
        <f t="shared" ref="D147:E152" si="126">IF(I$146=0,0,G147/I$146)</f>
        <v>0.1</v>
      </c>
      <c r="E147" s="2105">
        <f t="shared" si="126"/>
        <v>0</v>
      </c>
      <c r="F147"/>
      <c r="G147" s="2105">
        <f t="shared" si="122"/>
        <v>0.1</v>
      </c>
      <c r="H147" s="2105">
        <f t="shared" si="123"/>
        <v>0</v>
      </c>
      <c r="I147" s="2105"/>
      <c r="J147" s="2105"/>
      <c r="K147" s="2105">
        <f>IF(スコア!M147=0,0,1)</f>
        <v>1</v>
      </c>
      <c r="L147" s="2105">
        <f>IF(スコア!O147=0,0,1)</f>
        <v>0</v>
      </c>
      <c r="M147" s="2105">
        <f t="shared" si="124"/>
        <v>0.1</v>
      </c>
      <c r="N147" s="2105">
        <f t="shared" si="98"/>
        <v>0</v>
      </c>
      <c r="O147"/>
      <c r="P147" s="2106" t="str">
        <f t="shared" si="119"/>
        <v>2.1</v>
      </c>
      <c r="Q147" s="2106" t="str">
        <f t="shared" si="120"/>
        <v>LR2 2</v>
      </c>
      <c r="R147" s="2107" t="str">
        <f t="shared" si="99"/>
        <v>材料使用量の削減</v>
      </c>
      <c r="S147" s="2108">
        <f t="shared" si="104"/>
        <v>0.1</v>
      </c>
      <c r="T147" s="2108">
        <f t="shared" si="105"/>
        <v>0.1</v>
      </c>
      <c r="U147" s="2108">
        <f t="shared" si="106"/>
        <v>0.1</v>
      </c>
      <c r="V147" s="2108">
        <f t="shared" si="107"/>
        <v>0.1</v>
      </c>
      <c r="W147" s="2108">
        <f t="shared" si="108"/>
        <v>0.1</v>
      </c>
      <c r="X147" s="2108">
        <f t="shared" si="109"/>
        <v>0.1</v>
      </c>
      <c r="Y147" s="2108">
        <f t="shared" si="110"/>
        <v>0.1</v>
      </c>
      <c r="Z147" s="2117">
        <f t="shared" si="111"/>
        <v>0.1</v>
      </c>
      <c r="AA147" s="2108">
        <f t="shared" si="112"/>
        <v>0.1</v>
      </c>
      <c r="AB147" s="2108">
        <f t="shared" si="113"/>
        <v>0.1</v>
      </c>
      <c r="AC147" s="2194">
        <f t="shared" si="100"/>
        <v>0</v>
      </c>
      <c r="AD147" s="2127">
        <f t="shared" si="101"/>
        <v>0</v>
      </c>
      <c r="AE147" s="2127">
        <f t="shared" si="102"/>
        <v>0</v>
      </c>
      <c r="AF147"/>
      <c r="AG147" s="2106" t="s">
        <v>3044</v>
      </c>
      <c r="AH147" s="2099" t="s">
        <v>186</v>
      </c>
      <c r="AI147" s="2111" t="s">
        <v>1397</v>
      </c>
      <c r="AJ147" s="2168">
        <v>0.1</v>
      </c>
      <c r="AK147" s="2168">
        <v>0.1</v>
      </c>
      <c r="AL147" s="2168">
        <v>0.1</v>
      </c>
      <c r="AM147" s="2168">
        <v>0.1</v>
      </c>
      <c r="AN147" s="2168">
        <v>0.1</v>
      </c>
      <c r="AO147" s="2168">
        <v>0.1</v>
      </c>
      <c r="AP147" s="2168">
        <v>0.1</v>
      </c>
      <c r="AQ147" s="2168">
        <v>0.1</v>
      </c>
      <c r="AR147" s="2168">
        <v>0.1</v>
      </c>
      <c r="AS147" s="2168">
        <v>0.1</v>
      </c>
      <c r="AT147" s="2196"/>
      <c r="AU147" s="2193"/>
      <c r="AV147" s="2193"/>
      <c r="AW147"/>
      <c r="AX147" s="2106" t="s">
        <v>3045</v>
      </c>
      <c r="AY147" s="2099" t="s">
        <v>186</v>
      </c>
      <c r="AZ147" s="2111" t="s">
        <v>1397</v>
      </c>
      <c r="BA147" s="2168">
        <v>0.1</v>
      </c>
      <c r="BB147" s="2168">
        <v>0.1</v>
      </c>
      <c r="BC147" s="2168">
        <v>0.1</v>
      </c>
      <c r="BD147" s="2168">
        <v>0.1</v>
      </c>
      <c r="BE147" s="2168">
        <v>0.1</v>
      </c>
      <c r="BF147" s="2168">
        <v>0.1</v>
      </c>
      <c r="BG147" s="2168">
        <v>0.1</v>
      </c>
      <c r="BH147" s="2168">
        <v>0.1</v>
      </c>
      <c r="BI147" s="2168">
        <v>0.1</v>
      </c>
      <c r="BJ147" s="2168">
        <v>0.1</v>
      </c>
      <c r="BK147" s="2196"/>
      <c r="BL147" s="2193"/>
      <c r="BM147" s="2193"/>
      <c r="BN147"/>
      <c r="BO147" s="2106" t="s">
        <v>3045</v>
      </c>
      <c r="BP147" s="2099" t="s">
        <v>186</v>
      </c>
      <c r="BQ147" s="2111" t="s">
        <v>1397</v>
      </c>
      <c r="BR147" s="2168">
        <v>0.1</v>
      </c>
      <c r="BS147" s="2168">
        <v>0.1</v>
      </c>
      <c r="BT147" s="2168">
        <v>0.1</v>
      </c>
      <c r="BU147" s="2168">
        <v>0.1</v>
      </c>
      <c r="BV147" s="2168">
        <v>0.1</v>
      </c>
      <c r="BW147" s="2168">
        <v>0.1</v>
      </c>
      <c r="BX147" s="2168">
        <v>0.1</v>
      </c>
      <c r="BY147" s="2168">
        <v>0.1</v>
      </c>
      <c r="BZ147" s="2168">
        <v>0.1</v>
      </c>
      <c r="CA147" s="2168">
        <v>0.1</v>
      </c>
      <c r="CB147" s="2192"/>
      <c r="CC147" s="2193"/>
      <c r="CD147" s="2193"/>
      <c r="CE147" s="2558"/>
      <c r="CF147"/>
    </row>
    <row r="148" spans="1:84">
      <c r="B148" s="2080" t="str">
        <f t="shared" si="125"/>
        <v>2.2</v>
      </c>
      <c r="C148" s="2107" t="str">
        <f t="shared" si="121"/>
        <v>既存建築躯体等の継続使用</v>
      </c>
      <c r="D148" s="2104">
        <f t="shared" si="126"/>
        <v>0.2</v>
      </c>
      <c r="E148" s="2105">
        <f t="shared" si="126"/>
        <v>0</v>
      </c>
      <c r="G148" s="2105">
        <f t="shared" si="122"/>
        <v>0.2</v>
      </c>
      <c r="H148" s="2105">
        <f t="shared" si="123"/>
        <v>0</v>
      </c>
      <c r="I148" s="2105"/>
      <c r="J148" s="2105"/>
      <c r="K148" s="2105">
        <f>IF(スコア!M148=0,0,1)</f>
        <v>1</v>
      </c>
      <c r="L148" s="2105">
        <f>IF(スコア!O148=0,0,1)</f>
        <v>0</v>
      </c>
      <c r="M148" s="2105">
        <f t="shared" si="124"/>
        <v>0.2</v>
      </c>
      <c r="N148" s="2105">
        <f t="shared" si="98"/>
        <v>0</v>
      </c>
      <c r="P148" s="2106" t="str">
        <f t="shared" si="119"/>
        <v>2.2</v>
      </c>
      <c r="Q148" s="2106" t="str">
        <f t="shared" si="120"/>
        <v>LR2 2</v>
      </c>
      <c r="R148" s="2107" t="str">
        <f t="shared" si="99"/>
        <v>既存建築躯体等の継続使用</v>
      </c>
      <c r="S148" s="2108">
        <f t="shared" si="104"/>
        <v>0.2</v>
      </c>
      <c r="T148" s="2108">
        <f t="shared" si="105"/>
        <v>0.2</v>
      </c>
      <c r="U148" s="2108">
        <f t="shared" si="106"/>
        <v>0.2</v>
      </c>
      <c r="V148" s="2108">
        <f t="shared" si="107"/>
        <v>0.2</v>
      </c>
      <c r="W148" s="2108">
        <f t="shared" si="108"/>
        <v>0.2</v>
      </c>
      <c r="X148" s="2108">
        <f t="shared" si="109"/>
        <v>0.2</v>
      </c>
      <c r="Y148" s="2108">
        <f t="shared" si="110"/>
        <v>0.2</v>
      </c>
      <c r="Z148" s="2117">
        <f t="shared" si="111"/>
        <v>0.2</v>
      </c>
      <c r="AA148" s="2108">
        <f t="shared" si="112"/>
        <v>0.2</v>
      </c>
      <c r="AB148" s="2108">
        <f t="shared" si="113"/>
        <v>0.2</v>
      </c>
      <c r="AC148" s="2194">
        <f t="shared" si="100"/>
        <v>0</v>
      </c>
      <c r="AD148" s="2127">
        <f t="shared" si="101"/>
        <v>0</v>
      </c>
      <c r="AE148" s="2127">
        <f t="shared" si="102"/>
        <v>0</v>
      </c>
      <c r="AG148" s="2106" t="s">
        <v>3046</v>
      </c>
      <c r="AH148" s="2110" t="s">
        <v>186</v>
      </c>
      <c r="AI148" s="2107" t="s">
        <v>1398</v>
      </c>
      <c r="AJ148" s="2113">
        <v>0.2</v>
      </c>
      <c r="AK148" s="2113">
        <v>0.2</v>
      </c>
      <c r="AL148" s="2113">
        <v>0.2</v>
      </c>
      <c r="AM148" s="2113">
        <v>0.2</v>
      </c>
      <c r="AN148" s="2113">
        <v>0.2</v>
      </c>
      <c r="AO148" s="2113">
        <v>0.2</v>
      </c>
      <c r="AP148" s="2113">
        <v>0.2</v>
      </c>
      <c r="AQ148" s="2113">
        <v>0.2</v>
      </c>
      <c r="AR148" s="2113">
        <v>0.2</v>
      </c>
      <c r="AS148" s="2113">
        <v>0.2</v>
      </c>
      <c r="AT148" s="2195"/>
      <c r="AU148" s="2129"/>
      <c r="AV148" s="2129"/>
      <c r="AX148" s="2106" t="s">
        <v>3047</v>
      </c>
      <c r="AY148" s="2110" t="s">
        <v>186</v>
      </c>
      <c r="AZ148" s="2107" t="s">
        <v>1398</v>
      </c>
      <c r="BA148" s="2113">
        <v>0.2</v>
      </c>
      <c r="BB148" s="2113">
        <v>0.2</v>
      </c>
      <c r="BC148" s="2113">
        <v>0.2</v>
      </c>
      <c r="BD148" s="2113">
        <v>0.2</v>
      </c>
      <c r="BE148" s="2113">
        <v>0.2</v>
      </c>
      <c r="BF148" s="2113">
        <v>0.2</v>
      </c>
      <c r="BG148" s="2113">
        <v>0.2</v>
      </c>
      <c r="BH148" s="2113">
        <v>0.2</v>
      </c>
      <c r="BI148" s="2113">
        <v>0.2</v>
      </c>
      <c r="BJ148" s="2113">
        <v>0.2</v>
      </c>
      <c r="BK148" s="2195"/>
      <c r="BL148" s="2129"/>
      <c r="BM148" s="2129"/>
      <c r="BO148" s="2106" t="s">
        <v>3047</v>
      </c>
      <c r="BP148" s="2110" t="s">
        <v>186</v>
      </c>
      <c r="BQ148" s="2107" t="s">
        <v>1398</v>
      </c>
      <c r="BR148" s="2113">
        <v>0.2</v>
      </c>
      <c r="BS148" s="2113">
        <v>0.2</v>
      </c>
      <c r="BT148" s="2113">
        <v>0.2</v>
      </c>
      <c r="BU148" s="2113">
        <v>0.2</v>
      </c>
      <c r="BV148" s="2113">
        <v>0.2</v>
      </c>
      <c r="BW148" s="2113">
        <v>0.2</v>
      </c>
      <c r="BX148" s="2113">
        <v>0.2</v>
      </c>
      <c r="BY148" s="2113">
        <v>0.2</v>
      </c>
      <c r="BZ148" s="2113">
        <v>0.2</v>
      </c>
      <c r="CA148" s="2113">
        <v>0.2</v>
      </c>
      <c r="CB148" s="2195"/>
      <c r="CC148" s="2129"/>
      <c r="CD148" s="2129"/>
      <c r="CE148" s="2548"/>
    </row>
    <row r="149" spans="1:84">
      <c r="B149" s="2080" t="str">
        <f t="shared" si="125"/>
        <v>2.3</v>
      </c>
      <c r="C149" s="2107" t="str">
        <f t="shared" si="121"/>
        <v>躯体材料におけるリサイクル材の使用</v>
      </c>
      <c r="D149" s="2104">
        <f t="shared" si="126"/>
        <v>0.2</v>
      </c>
      <c r="E149" s="2105">
        <f t="shared" si="126"/>
        <v>0</v>
      </c>
      <c r="G149" s="2105">
        <f t="shared" si="122"/>
        <v>0.2</v>
      </c>
      <c r="H149" s="2105">
        <f t="shared" si="123"/>
        <v>0</v>
      </c>
      <c r="I149" s="2105"/>
      <c r="J149" s="2105"/>
      <c r="K149" s="2105">
        <f>IF(スコア!M149=0,0,1)</f>
        <v>1</v>
      </c>
      <c r="L149" s="2105">
        <f>IF(スコア!O149=0,0,1)</f>
        <v>0</v>
      </c>
      <c r="M149" s="2105">
        <f t="shared" si="124"/>
        <v>0.2</v>
      </c>
      <c r="N149" s="2105">
        <f t="shared" si="98"/>
        <v>0</v>
      </c>
      <c r="P149" s="2106" t="str">
        <f t="shared" si="119"/>
        <v>2.3</v>
      </c>
      <c r="Q149" s="2106" t="str">
        <f t="shared" si="120"/>
        <v>LR2 2</v>
      </c>
      <c r="R149" s="2107" t="str">
        <f t="shared" si="99"/>
        <v>躯体材料におけるリサイクル材の使用</v>
      </c>
      <c r="S149" s="2108">
        <f t="shared" si="104"/>
        <v>0.2</v>
      </c>
      <c r="T149" s="2108">
        <f t="shared" si="105"/>
        <v>0.2</v>
      </c>
      <c r="U149" s="2108">
        <f t="shared" si="106"/>
        <v>0.2</v>
      </c>
      <c r="V149" s="2108">
        <f t="shared" si="107"/>
        <v>0.2</v>
      </c>
      <c r="W149" s="2108">
        <f t="shared" si="108"/>
        <v>0.2</v>
      </c>
      <c r="X149" s="2108">
        <f t="shared" si="109"/>
        <v>0.2</v>
      </c>
      <c r="Y149" s="2108">
        <f t="shared" si="110"/>
        <v>0.2</v>
      </c>
      <c r="Z149" s="2117">
        <f t="shared" si="111"/>
        <v>0.2</v>
      </c>
      <c r="AA149" s="2108">
        <f t="shared" si="112"/>
        <v>0.2</v>
      </c>
      <c r="AB149" s="2108">
        <f t="shared" si="113"/>
        <v>0.2</v>
      </c>
      <c r="AC149" s="2194">
        <f t="shared" si="100"/>
        <v>0</v>
      </c>
      <c r="AD149" s="2127">
        <f t="shared" si="101"/>
        <v>0</v>
      </c>
      <c r="AE149" s="2127">
        <f t="shared" si="102"/>
        <v>0</v>
      </c>
      <c r="AG149" s="2106" t="s">
        <v>3048</v>
      </c>
      <c r="AH149" s="2110" t="s">
        <v>186</v>
      </c>
      <c r="AI149" s="2107" t="s">
        <v>1399</v>
      </c>
      <c r="AJ149" s="2113">
        <v>0.2</v>
      </c>
      <c r="AK149" s="2113">
        <v>0.2</v>
      </c>
      <c r="AL149" s="2113">
        <v>0.2</v>
      </c>
      <c r="AM149" s="2113">
        <v>0.2</v>
      </c>
      <c r="AN149" s="2113">
        <v>0.2</v>
      </c>
      <c r="AO149" s="2113">
        <v>0.2</v>
      </c>
      <c r="AP149" s="2113">
        <v>0.2</v>
      </c>
      <c r="AQ149" s="2113">
        <v>0.2</v>
      </c>
      <c r="AR149" s="2113">
        <v>0.2</v>
      </c>
      <c r="AS149" s="2113">
        <v>0.2</v>
      </c>
      <c r="AT149" s="2195"/>
      <c r="AU149" s="2129"/>
      <c r="AV149" s="2129"/>
      <c r="AX149" s="2106" t="s">
        <v>3049</v>
      </c>
      <c r="AY149" s="2110" t="s">
        <v>186</v>
      </c>
      <c r="AZ149" s="2107" t="s">
        <v>1399</v>
      </c>
      <c r="BA149" s="2113">
        <v>0.2</v>
      </c>
      <c r="BB149" s="2113">
        <v>0.2</v>
      </c>
      <c r="BC149" s="2113">
        <v>0.2</v>
      </c>
      <c r="BD149" s="2113">
        <v>0.2</v>
      </c>
      <c r="BE149" s="2113">
        <v>0.2</v>
      </c>
      <c r="BF149" s="2113">
        <v>0.2</v>
      </c>
      <c r="BG149" s="2113">
        <v>0.2</v>
      </c>
      <c r="BH149" s="2113">
        <v>0.2</v>
      </c>
      <c r="BI149" s="2113">
        <v>0.2</v>
      </c>
      <c r="BJ149" s="2113">
        <v>0.2</v>
      </c>
      <c r="BK149" s="2195"/>
      <c r="BL149" s="2129"/>
      <c r="BM149" s="2129"/>
      <c r="BO149" s="2106" t="s">
        <v>3049</v>
      </c>
      <c r="BP149" s="2110" t="s">
        <v>186</v>
      </c>
      <c r="BQ149" s="2107" t="s">
        <v>1399</v>
      </c>
      <c r="BR149" s="2113">
        <v>0.2</v>
      </c>
      <c r="BS149" s="2113">
        <v>0.2</v>
      </c>
      <c r="BT149" s="2113">
        <v>0.2</v>
      </c>
      <c r="BU149" s="2113">
        <v>0.2</v>
      </c>
      <c r="BV149" s="2113">
        <v>0.2</v>
      </c>
      <c r="BW149" s="2113">
        <v>0.2</v>
      </c>
      <c r="BX149" s="2113">
        <v>0.2</v>
      </c>
      <c r="BY149" s="2113">
        <v>0.2</v>
      </c>
      <c r="BZ149" s="2113">
        <v>0.2</v>
      </c>
      <c r="CA149" s="2113">
        <v>0.2</v>
      </c>
      <c r="CB149" s="2195"/>
      <c r="CC149" s="2129"/>
      <c r="CD149" s="2129"/>
      <c r="CE149" s="2548"/>
    </row>
    <row r="150" spans="1:84">
      <c r="B150" s="2080" t="str">
        <f t="shared" si="125"/>
        <v>2.4</v>
      </c>
      <c r="C150" s="2107" t="str">
        <f t="shared" si="121"/>
        <v>躯体材料以外におけるリサイクル材の使用</v>
      </c>
      <c r="D150" s="2104">
        <f t="shared" si="126"/>
        <v>0.2</v>
      </c>
      <c r="E150" s="2105">
        <f t="shared" si="126"/>
        <v>0</v>
      </c>
      <c r="G150" s="2105">
        <f t="shared" si="122"/>
        <v>0.2</v>
      </c>
      <c r="H150" s="2105">
        <f t="shared" si="123"/>
        <v>0</v>
      </c>
      <c r="I150" s="2105"/>
      <c r="J150" s="2105"/>
      <c r="K150" s="2105">
        <f>IF(スコア!M150=0,0,1)</f>
        <v>1</v>
      </c>
      <c r="L150" s="2105">
        <f>IF(スコア!O150=0,0,1)</f>
        <v>0</v>
      </c>
      <c r="M150" s="2105">
        <f t="shared" si="124"/>
        <v>0.2</v>
      </c>
      <c r="N150" s="2105">
        <f t="shared" si="98"/>
        <v>0</v>
      </c>
      <c r="P150" s="2106" t="str">
        <f t="shared" si="119"/>
        <v>2.4</v>
      </c>
      <c r="Q150" s="2106" t="str">
        <f t="shared" si="120"/>
        <v>LR2 2</v>
      </c>
      <c r="R150" s="2107" t="str">
        <f t="shared" si="99"/>
        <v>躯体材料以外におけるリサイクル材の使用</v>
      </c>
      <c r="S150" s="2108">
        <f t="shared" si="104"/>
        <v>0.2</v>
      </c>
      <c r="T150" s="2108">
        <f t="shared" si="105"/>
        <v>0.2</v>
      </c>
      <c r="U150" s="2108">
        <f t="shared" si="106"/>
        <v>0.2</v>
      </c>
      <c r="V150" s="2108">
        <f t="shared" si="107"/>
        <v>0.2</v>
      </c>
      <c r="W150" s="2108">
        <f t="shared" si="108"/>
        <v>0.2</v>
      </c>
      <c r="X150" s="2108">
        <f t="shared" si="109"/>
        <v>0.2</v>
      </c>
      <c r="Y150" s="2108">
        <f t="shared" si="110"/>
        <v>0.2</v>
      </c>
      <c r="Z150" s="2117">
        <f t="shared" si="111"/>
        <v>0.2</v>
      </c>
      <c r="AA150" s="2108">
        <f t="shared" si="112"/>
        <v>0.2</v>
      </c>
      <c r="AB150" s="2108">
        <f t="shared" si="113"/>
        <v>0.2</v>
      </c>
      <c r="AC150" s="2194">
        <f t="shared" si="100"/>
        <v>0</v>
      </c>
      <c r="AD150" s="2127">
        <f t="shared" si="101"/>
        <v>0</v>
      </c>
      <c r="AE150" s="2127">
        <f t="shared" si="102"/>
        <v>0</v>
      </c>
      <c r="AG150" s="2106" t="s">
        <v>3050</v>
      </c>
      <c r="AH150" s="2110" t="s">
        <v>186</v>
      </c>
      <c r="AI150" s="2107" t="s">
        <v>1747</v>
      </c>
      <c r="AJ150" s="2113">
        <v>0.2</v>
      </c>
      <c r="AK150" s="2113">
        <v>0.2</v>
      </c>
      <c r="AL150" s="2113">
        <v>0.2</v>
      </c>
      <c r="AM150" s="2113">
        <v>0.2</v>
      </c>
      <c r="AN150" s="2113">
        <v>0.2</v>
      </c>
      <c r="AO150" s="2113">
        <v>0.2</v>
      </c>
      <c r="AP150" s="2113">
        <v>0.2</v>
      </c>
      <c r="AQ150" s="2113">
        <v>0.2</v>
      </c>
      <c r="AR150" s="2113">
        <v>0.2</v>
      </c>
      <c r="AS150" s="2113">
        <v>0.2</v>
      </c>
      <c r="AT150" s="2195"/>
      <c r="AU150" s="2129"/>
      <c r="AV150" s="2129"/>
      <c r="AX150" s="2106" t="s">
        <v>3051</v>
      </c>
      <c r="AY150" s="2110" t="s">
        <v>186</v>
      </c>
      <c r="AZ150" s="2107" t="s">
        <v>1747</v>
      </c>
      <c r="BA150" s="2113">
        <v>0.2</v>
      </c>
      <c r="BB150" s="2113">
        <v>0.2</v>
      </c>
      <c r="BC150" s="2113">
        <v>0.2</v>
      </c>
      <c r="BD150" s="2113">
        <v>0.2</v>
      </c>
      <c r="BE150" s="2113">
        <v>0.2</v>
      </c>
      <c r="BF150" s="2113">
        <v>0.2</v>
      </c>
      <c r="BG150" s="2113">
        <v>0.2</v>
      </c>
      <c r="BH150" s="2113">
        <v>0.2</v>
      </c>
      <c r="BI150" s="2113">
        <v>0.2</v>
      </c>
      <c r="BJ150" s="2113">
        <v>0.2</v>
      </c>
      <c r="BK150" s="2195"/>
      <c r="BL150" s="2129"/>
      <c r="BM150" s="2129"/>
      <c r="BO150" s="2106" t="s">
        <v>3051</v>
      </c>
      <c r="BP150" s="2110" t="s">
        <v>186</v>
      </c>
      <c r="BQ150" s="2107" t="s">
        <v>1747</v>
      </c>
      <c r="BR150" s="2113">
        <v>0.2</v>
      </c>
      <c r="BS150" s="2113">
        <v>0.2</v>
      </c>
      <c r="BT150" s="2113">
        <v>0.2</v>
      </c>
      <c r="BU150" s="2113">
        <v>0.2</v>
      </c>
      <c r="BV150" s="2113">
        <v>0.2</v>
      </c>
      <c r="BW150" s="2113">
        <v>0.2</v>
      </c>
      <c r="BX150" s="2113">
        <v>0.2</v>
      </c>
      <c r="BY150" s="2113">
        <v>0.2</v>
      </c>
      <c r="BZ150" s="2113">
        <v>0.2</v>
      </c>
      <c r="CA150" s="2113">
        <v>0.2</v>
      </c>
      <c r="CB150" s="2195"/>
      <c r="CC150" s="2129"/>
      <c r="CD150" s="2129"/>
      <c r="CE150" s="2548"/>
    </row>
    <row r="151" spans="1:84">
      <c r="B151" s="2080" t="str">
        <f t="shared" si="125"/>
        <v>2.5</v>
      </c>
      <c r="C151" s="2103" t="str">
        <f t="shared" si="121"/>
        <v>持続可能な森林から産出された木材</v>
      </c>
      <c r="D151" s="2104">
        <f t="shared" si="126"/>
        <v>0.1</v>
      </c>
      <c r="E151" s="2105">
        <f t="shared" si="126"/>
        <v>0</v>
      </c>
      <c r="G151" s="2105">
        <f t="shared" si="122"/>
        <v>0.1</v>
      </c>
      <c r="H151" s="2105">
        <f t="shared" si="123"/>
        <v>0</v>
      </c>
      <c r="I151" s="2105"/>
      <c r="J151" s="2105"/>
      <c r="K151" s="2105">
        <f>IF(スコア!M151=0,0,1)</f>
        <v>1</v>
      </c>
      <c r="L151" s="2105">
        <f>IF(スコア!O151=0,0,1)</f>
        <v>0</v>
      </c>
      <c r="M151" s="2105">
        <f t="shared" si="124"/>
        <v>0.1</v>
      </c>
      <c r="N151" s="2105">
        <f t="shared" si="98"/>
        <v>0</v>
      </c>
      <c r="P151" s="2106" t="str">
        <f t="shared" si="119"/>
        <v>2.5</v>
      </c>
      <c r="Q151" s="2106" t="str">
        <f t="shared" si="120"/>
        <v>LR2 2</v>
      </c>
      <c r="R151" s="2107" t="str">
        <f t="shared" si="99"/>
        <v>持続可能な森林から産出された木材</v>
      </c>
      <c r="S151" s="2108">
        <f t="shared" si="104"/>
        <v>0.1</v>
      </c>
      <c r="T151" s="2108">
        <f t="shared" si="105"/>
        <v>0.1</v>
      </c>
      <c r="U151" s="2108">
        <f t="shared" si="106"/>
        <v>0.1</v>
      </c>
      <c r="V151" s="2108">
        <f t="shared" si="107"/>
        <v>0.1</v>
      </c>
      <c r="W151" s="2108">
        <f t="shared" si="108"/>
        <v>0.1</v>
      </c>
      <c r="X151" s="2108">
        <f t="shared" si="109"/>
        <v>0.1</v>
      </c>
      <c r="Y151" s="2108">
        <f t="shared" si="110"/>
        <v>0.1</v>
      </c>
      <c r="Z151" s="2117">
        <f t="shared" si="111"/>
        <v>0.1</v>
      </c>
      <c r="AA151" s="2108">
        <f t="shared" si="112"/>
        <v>0.1</v>
      </c>
      <c r="AB151" s="2108">
        <f t="shared" si="113"/>
        <v>0.1</v>
      </c>
      <c r="AC151" s="2194">
        <f t="shared" si="100"/>
        <v>0</v>
      </c>
      <c r="AD151" s="2127">
        <f t="shared" si="101"/>
        <v>0</v>
      </c>
      <c r="AE151" s="2127">
        <f t="shared" si="102"/>
        <v>0</v>
      </c>
      <c r="AG151" s="2106" t="s">
        <v>3052</v>
      </c>
      <c r="AH151" s="2110" t="s">
        <v>186</v>
      </c>
      <c r="AI151" s="2111" t="s">
        <v>3053</v>
      </c>
      <c r="AJ151" s="2113">
        <v>0.1</v>
      </c>
      <c r="AK151" s="2113">
        <v>0.1</v>
      </c>
      <c r="AL151" s="2113">
        <v>0.1</v>
      </c>
      <c r="AM151" s="2113">
        <v>0.1</v>
      </c>
      <c r="AN151" s="2113">
        <v>0.1</v>
      </c>
      <c r="AO151" s="2113">
        <v>0.1</v>
      </c>
      <c r="AP151" s="2113">
        <v>0.1</v>
      </c>
      <c r="AQ151" s="2113">
        <v>0.1</v>
      </c>
      <c r="AR151" s="2113">
        <v>0.1</v>
      </c>
      <c r="AS151" s="2113">
        <v>0.1</v>
      </c>
      <c r="AT151" s="2195"/>
      <c r="AU151" s="2129"/>
      <c r="AV151" s="2129"/>
      <c r="AX151" s="2106" t="s">
        <v>3052</v>
      </c>
      <c r="AY151" s="2110" t="s">
        <v>186</v>
      </c>
      <c r="AZ151" s="2111" t="s">
        <v>3053</v>
      </c>
      <c r="BA151" s="2113">
        <v>0.1</v>
      </c>
      <c r="BB151" s="2113">
        <v>0.1</v>
      </c>
      <c r="BC151" s="2113">
        <v>0.1</v>
      </c>
      <c r="BD151" s="2113">
        <v>0.1</v>
      </c>
      <c r="BE151" s="2113">
        <v>0.1</v>
      </c>
      <c r="BF151" s="2113">
        <v>0.1</v>
      </c>
      <c r="BG151" s="2113">
        <v>0.1</v>
      </c>
      <c r="BH151" s="2113">
        <v>0.1</v>
      </c>
      <c r="BI151" s="2113">
        <v>0.1</v>
      </c>
      <c r="BJ151" s="2113">
        <v>0.1</v>
      </c>
      <c r="BK151" s="2195"/>
      <c r="BL151" s="2129"/>
      <c r="BM151" s="2129"/>
      <c r="BO151" s="2106" t="s">
        <v>3052</v>
      </c>
      <c r="BP151" s="2110" t="s">
        <v>186</v>
      </c>
      <c r="BQ151" s="2111" t="s">
        <v>3053</v>
      </c>
      <c r="BR151" s="2113">
        <v>0.1</v>
      </c>
      <c r="BS151" s="2113">
        <v>0.1</v>
      </c>
      <c r="BT151" s="2113">
        <v>0.1</v>
      </c>
      <c r="BU151" s="2113">
        <v>0.1</v>
      </c>
      <c r="BV151" s="2113">
        <v>0.1</v>
      </c>
      <c r="BW151" s="2113">
        <v>0.1</v>
      </c>
      <c r="BX151" s="2113">
        <v>0.1</v>
      </c>
      <c r="BY151" s="2113">
        <v>0.1</v>
      </c>
      <c r="BZ151" s="2113">
        <v>0.1</v>
      </c>
      <c r="CA151" s="2113">
        <v>0.1</v>
      </c>
      <c r="CB151" s="2195"/>
      <c r="CC151" s="2129"/>
      <c r="CD151" s="2129"/>
      <c r="CE151" s="2548"/>
    </row>
    <row r="152" spans="1:84">
      <c r="B152" s="2080" t="str">
        <f t="shared" si="125"/>
        <v>2.6</v>
      </c>
      <c r="C152" s="2107" t="str">
        <f t="shared" si="121"/>
        <v>部材の再利用可能性向上への取組み</v>
      </c>
      <c r="D152" s="2104">
        <f t="shared" si="126"/>
        <v>0.2</v>
      </c>
      <c r="E152" s="2105">
        <f t="shared" si="126"/>
        <v>0</v>
      </c>
      <c r="G152" s="2105">
        <f t="shared" si="122"/>
        <v>0.2</v>
      </c>
      <c r="H152" s="2105">
        <f t="shared" si="123"/>
        <v>0</v>
      </c>
      <c r="I152" s="2105"/>
      <c r="J152" s="2105"/>
      <c r="K152" s="2105">
        <f>IF(スコア!M152=0,0,1)</f>
        <v>1</v>
      </c>
      <c r="L152" s="2105">
        <f>IF(スコア!O152=0,0,1)</f>
        <v>0</v>
      </c>
      <c r="M152" s="2105">
        <f t="shared" si="124"/>
        <v>0.2</v>
      </c>
      <c r="N152" s="2105">
        <f t="shared" ref="N152:N180" si="127">(AC$7*AC152)+(AD$7*AD152)+(AE$7*AE152)</f>
        <v>0</v>
      </c>
      <c r="P152" s="2106" t="str">
        <f t="shared" si="119"/>
        <v>2.6</v>
      </c>
      <c r="Q152" s="2106" t="str">
        <f t="shared" si="120"/>
        <v>LR2 2</v>
      </c>
      <c r="R152" s="2107" t="str">
        <f t="shared" si="99"/>
        <v>部材の再利用可能性向上への取組み</v>
      </c>
      <c r="S152" s="2108">
        <f t="shared" si="104"/>
        <v>0.2</v>
      </c>
      <c r="T152" s="2108">
        <f t="shared" si="105"/>
        <v>0.2</v>
      </c>
      <c r="U152" s="2108">
        <f t="shared" si="106"/>
        <v>0.2</v>
      </c>
      <c r="V152" s="2108">
        <f t="shared" si="107"/>
        <v>0.2</v>
      </c>
      <c r="W152" s="2108">
        <f t="shared" si="108"/>
        <v>0.2</v>
      </c>
      <c r="X152" s="2108">
        <f t="shared" si="109"/>
        <v>0.2</v>
      </c>
      <c r="Y152" s="2108">
        <f t="shared" si="110"/>
        <v>0.2</v>
      </c>
      <c r="Z152" s="2117">
        <f t="shared" si="111"/>
        <v>0.2</v>
      </c>
      <c r="AA152" s="2108">
        <f t="shared" si="112"/>
        <v>0.2</v>
      </c>
      <c r="AB152" s="2108">
        <f t="shared" si="113"/>
        <v>0.2</v>
      </c>
      <c r="AC152" s="2194">
        <f t="shared" si="100"/>
        <v>0</v>
      </c>
      <c r="AD152" s="2127">
        <f t="shared" si="101"/>
        <v>0</v>
      </c>
      <c r="AE152" s="2127">
        <f t="shared" si="102"/>
        <v>0</v>
      </c>
      <c r="AG152" s="2106" t="s">
        <v>3054</v>
      </c>
      <c r="AH152" s="2110" t="s">
        <v>186</v>
      </c>
      <c r="AI152" s="2107" t="s">
        <v>1401</v>
      </c>
      <c r="AJ152" s="2113">
        <v>0.2</v>
      </c>
      <c r="AK152" s="2113">
        <v>0.2</v>
      </c>
      <c r="AL152" s="2113">
        <v>0.2</v>
      </c>
      <c r="AM152" s="2113">
        <v>0.2</v>
      </c>
      <c r="AN152" s="2113">
        <v>0.2</v>
      </c>
      <c r="AO152" s="2113">
        <v>0.2</v>
      </c>
      <c r="AP152" s="2113">
        <v>0.2</v>
      </c>
      <c r="AQ152" s="2113">
        <v>0.2</v>
      </c>
      <c r="AR152" s="2113">
        <v>0.2</v>
      </c>
      <c r="AS152" s="2113">
        <v>0.2</v>
      </c>
      <c r="AT152" s="2195"/>
      <c r="AU152" s="2129"/>
      <c r="AV152" s="2129"/>
      <c r="AX152" s="2106" t="s">
        <v>1549</v>
      </c>
      <c r="AY152" s="2110" t="s">
        <v>186</v>
      </c>
      <c r="AZ152" s="2107" t="s">
        <v>1401</v>
      </c>
      <c r="BA152" s="2113">
        <v>0.2</v>
      </c>
      <c r="BB152" s="2113">
        <v>0.2</v>
      </c>
      <c r="BC152" s="2113">
        <v>0.2</v>
      </c>
      <c r="BD152" s="2113">
        <v>0.2</v>
      </c>
      <c r="BE152" s="2113">
        <v>0.2</v>
      </c>
      <c r="BF152" s="2113">
        <v>0.2</v>
      </c>
      <c r="BG152" s="2113">
        <v>0.2</v>
      </c>
      <c r="BH152" s="2113">
        <v>0.2</v>
      </c>
      <c r="BI152" s="2113">
        <v>0.2</v>
      </c>
      <c r="BJ152" s="2113">
        <v>0.2</v>
      </c>
      <c r="BK152" s="2195"/>
      <c r="BL152" s="2129"/>
      <c r="BM152" s="2129"/>
      <c r="BO152" s="2106" t="s">
        <v>1549</v>
      </c>
      <c r="BP152" s="2110" t="s">
        <v>186</v>
      </c>
      <c r="BQ152" s="2107" t="s">
        <v>1401</v>
      </c>
      <c r="BR152" s="2113">
        <v>0.2</v>
      </c>
      <c r="BS152" s="2113">
        <v>0.2</v>
      </c>
      <c r="BT152" s="2113">
        <v>0.2</v>
      </c>
      <c r="BU152" s="2113">
        <v>0.2</v>
      </c>
      <c r="BV152" s="2113">
        <v>0.2</v>
      </c>
      <c r="BW152" s="2113">
        <v>0.2</v>
      </c>
      <c r="BX152" s="2113">
        <v>0.2</v>
      </c>
      <c r="BY152" s="2113">
        <v>0.2</v>
      </c>
      <c r="BZ152" s="2113">
        <v>0.2</v>
      </c>
      <c r="CA152" s="2113">
        <v>0.2</v>
      </c>
      <c r="CB152" s="2195"/>
      <c r="CC152" s="2129"/>
      <c r="CD152" s="2129"/>
      <c r="CE152" s="2548"/>
    </row>
    <row r="153" spans="1:84" s="1485" customFormat="1">
      <c r="A153"/>
      <c r="B153" s="2080">
        <f t="shared" si="125"/>
        <v>3</v>
      </c>
      <c r="C153" s="2123" t="str">
        <f t="shared" si="121"/>
        <v>汚染物質含有材料の使用回避</v>
      </c>
      <c r="D153" s="2091">
        <f>IF(I$140=0,0,G153/I$140)</f>
        <v>0.2</v>
      </c>
      <c r="E153" s="2092">
        <f>IF(J$140=0,0,H153/J$140)</f>
        <v>0</v>
      </c>
      <c r="F153"/>
      <c r="G153" s="2092">
        <f t="shared" si="122"/>
        <v>0.2</v>
      </c>
      <c r="H153" s="2092">
        <f t="shared" si="123"/>
        <v>0</v>
      </c>
      <c r="I153" s="2092">
        <f>G154+G155</f>
        <v>1</v>
      </c>
      <c r="J153" s="2092">
        <f>H154+H155</f>
        <v>0</v>
      </c>
      <c r="K153" s="2092">
        <f>IF(スコア!M153=0,0,1)</f>
        <v>1</v>
      </c>
      <c r="L153" s="2092">
        <f>IF(スコア!O153=0,0,1)</f>
        <v>0</v>
      </c>
      <c r="M153" s="2092">
        <f t="shared" si="124"/>
        <v>0.2</v>
      </c>
      <c r="N153" s="2092">
        <f t="shared" si="127"/>
        <v>0</v>
      </c>
      <c r="O153"/>
      <c r="P153" s="2094">
        <f t="shared" si="119"/>
        <v>3</v>
      </c>
      <c r="Q153" s="2094" t="str">
        <f t="shared" si="120"/>
        <v>LR2</v>
      </c>
      <c r="R153" s="2095" t="str">
        <f t="shared" si="99"/>
        <v>汚染物質含有材料の使用回避</v>
      </c>
      <c r="S153" s="2096">
        <f t="shared" si="104"/>
        <v>0.2</v>
      </c>
      <c r="T153" s="2096">
        <f t="shared" si="105"/>
        <v>0.2</v>
      </c>
      <c r="U153" s="2096">
        <f t="shared" si="106"/>
        <v>0.2</v>
      </c>
      <c r="V153" s="2096">
        <f t="shared" si="107"/>
        <v>0.2</v>
      </c>
      <c r="W153" s="2096">
        <f t="shared" si="108"/>
        <v>0.2</v>
      </c>
      <c r="X153" s="2096">
        <f t="shared" si="109"/>
        <v>0.2</v>
      </c>
      <c r="Y153" s="2096">
        <f t="shared" si="110"/>
        <v>0.2</v>
      </c>
      <c r="Z153" s="2160">
        <f t="shared" si="111"/>
        <v>0.2</v>
      </c>
      <c r="AA153" s="2096">
        <f t="shared" si="112"/>
        <v>0.2</v>
      </c>
      <c r="AB153" s="2096">
        <f t="shared" si="113"/>
        <v>0.2</v>
      </c>
      <c r="AC153" s="2190">
        <f t="shared" si="100"/>
        <v>0</v>
      </c>
      <c r="AD153" s="2191">
        <f t="shared" si="101"/>
        <v>0</v>
      </c>
      <c r="AE153" s="2191">
        <f t="shared" si="102"/>
        <v>0</v>
      </c>
      <c r="AF153"/>
      <c r="AG153" s="2094">
        <v>3</v>
      </c>
      <c r="AH153" s="2099" t="s">
        <v>1724</v>
      </c>
      <c r="AI153" s="2123" t="s">
        <v>1402</v>
      </c>
      <c r="AJ153" s="2100">
        <v>0.2</v>
      </c>
      <c r="AK153" s="2100">
        <v>0.2</v>
      </c>
      <c r="AL153" s="2100">
        <v>0.2</v>
      </c>
      <c r="AM153" s="2100">
        <v>0.2</v>
      </c>
      <c r="AN153" s="2100">
        <v>0.2</v>
      </c>
      <c r="AO153" s="2100">
        <v>0.2</v>
      </c>
      <c r="AP153" s="2100">
        <v>0.2</v>
      </c>
      <c r="AQ153" s="2100">
        <v>0.2</v>
      </c>
      <c r="AR153" s="2100">
        <v>0.2</v>
      </c>
      <c r="AS153" s="2100">
        <v>0.2</v>
      </c>
      <c r="AT153" s="2192">
        <v>0</v>
      </c>
      <c r="AU153" s="2193">
        <v>0</v>
      </c>
      <c r="AV153" s="2193">
        <v>0</v>
      </c>
      <c r="AW153"/>
      <c r="AX153" s="2094">
        <v>3</v>
      </c>
      <c r="AY153" s="2099" t="s">
        <v>1724</v>
      </c>
      <c r="AZ153" s="2123" t="s">
        <v>1402</v>
      </c>
      <c r="BA153" s="2100">
        <v>0.2</v>
      </c>
      <c r="BB153" s="2100">
        <v>0.2</v>
      </c>
      <c r="BC153" s="2100">
        <v>0.2</v>
      </c>
      <c r="BD153" s="2100">
        <v>0.2</v>
      </c>
      <c r="BE153" s="2100">
        <v>0.2</v>
      </c>
      <c r="BF153" s="2100">
        <v>0.2</v>
      </c>
      <c r="BG153" s="2100">
        <v>0.2</v>
      </c>
      <c r="BH153" s="2100">
        <v>0.2</v>
      </c>
      <c r="BI153" s="2100">
        <v>0.2</v>
      </c>
      <c r="BJ153" s="2100">
        <v>0.2</v>
      </c>
      <c r="BK153" s="2192"/>
      <c r="BL153" s="2193"/>
      <c r="BM153" s="2193"/>
      <c r="BN153"/>
      <c r="BO153" s="2094">
        <v>3</v>
      </c>
      <c r="BP153" s="2099" t="s">
        <v>1724</v>
      </c>
      <c r="BQ153" s="2123" t="s">
        <v>1402</v>
      </c>
      <c r="BR153" s="2100">
        <v>0.2</v>
      </c>
      <c r="BS153" s="2100">
        <v>0.2</v>
      </c>
      <c r="BT153" s="2100">
        <v>0.2</v>
      </c>
      <c r="BU153" s="2100">
        <v>0.2</v>
      </c>
      <c r="BV153" s="2100">
        <v>0.2</v>
      </c>
      <c r="BW153" s="2100">
        <v>0.2</v>
      </c>
      <c r="BX153" s="2100">
        <v>0.2</v>
      </c>
      <c r="BY153" s="2100">
        <v>0.2</v>
      </c>
      <c r="BZ153" s="2100">
        <v>0.2</v>
      </c>
      <c r="CA153" s="2100">
        <v>0.2</v>
      </c>
      <c r="CB153" s="2192"/>
      <c r="CC153" s="2193"/>
      <c r="CD153" s="2193"/>
      <c r="CE153" s="2558"/>
      <c r="CF153"/>
    </row>
    <row r="154" spans="1:84">
      <c r="B154" s="2080" t="str">
        <f t="shared" si="125"/>
        <v>3.1</v>
      </c>
      <c r="C154" s="2107" t="str">
        <f t="shared" si="121"/>
        <v>有害物質を含まない材料の使用</v>
      </c>
      <c r="D154" s="2104">
        <f>IF(I$153=0,0,G154/I$153)</f>
        <v>0.3</v>
      </c>
      <c r="E154" s="2105">
        <f>IF(J$153=0,0,H154/J$153)</f>
        <v>0</v>
      </c>
      <c r="G154" s="2105">
        <f t="shared" si="122"/>
        <v>0.3</v>
      </c>
      <c r="H154" s="2105">
        <f t="shared" si="123"/>
        <v>0</v>
      </c>
      <c r="I154" s="2105"/>
      <c r="J154" s="2105"/>
      <c r="K154" s="2105">
        <f>IF(スコア!M154=0,0,1)</f>
        <v>1</v>
      </c>
      <c r="L154" s="2105">
        <f>IF(スコア!O154=0,0,1)</f>
        <v>0</v>
      </c>
      <c r="M154" s="2105">
        <f t="shared" si="124"/>
        <v>0.3</v>
      </c>
      <c r="N154" s="2105">
        <f t="shared" si="127"/>
        <v>0</v>
      </c>
      <c r="P154" s="2106" t="str">
        <f t="shared" si="119"/>
        <v>3.1</v>
      </c>
      <c r="Q154" s="2106" t="str">
        <f t="shared" si="120"/>
        <v>LR2 3</v>
      </c>
      <c r="R154" s="2107" t="str">
        <f t="shared" si="99"/>
        <v>有害物質を含まない材料の使用</v>
      </c>
      <c r="S154" s="2108">
        <f t="shared" si="104"/>
        <v>0.3</v>
      </c>
      <c r="T154" s="2108">
        <f t="shared" si="105"/>
        <v>0.3</v>
      </c>
      <c r="U154" s="2108">
        <f t="shared" si="106"/>
        <v>0.3</v>
      </c>
      <c r="V154" s="2108">
        <f t="shared" si="107"/>
        <v>0.3</v>
      </c>
      <c r="W154" s="2108">
        <f t="shared" si="108"/>
        <v>0.3</v>
      </c>
      <c r="X154" s="2108">
        <f t="shared" si="109"/>
        <v>0.3</v>
      </c>
      <c r="Y154" s="2108">
        <f t="shared" si="110"/>
        <v>0.3</v>
      </c>
      <c r="Z154" s="2117">
        <f t="shared" si="111"/>
        <v>0.3</v>
      </c>
      <c r="AA154" s="2108">
        <f t="shared" si="112"/>
        <v>0.3</v>
      </c>
      <c r="AB154" s="2108">
        <f t="shared" si="113"/>
        <v>0.3</v>
      </c>
      <c r="AC154" s="2194">
        <f t="shared" si="100"/>
        <v>0</v>
      </c>
      <c r="AD154" s="2127">
        <f t="shared" si="101"/>
        <v>0</v>
      </c>
      <c r="AE154" s="2127">
        <f t="shared" si="102"/>
        <v>0</v>
      </c>
      <c r="AG154" s="2106" t="s">
        <v>1550</v>
      </c>
      <c r="AH154" s="2110" t="s">
        <v>187</v>
      </c>
      <c r="AI154" s="2107" t="s">
        <v>1403</v>
      </c>
      <c r="AJ154" s="2113">
        <v>0.3</v>
      </c>
      <c r="AK154" s="2113">
        <v>0.3</v>
      </c>
      <c r="AL154" s="2113">
        <v>0.3</v>
      </c>
      <c r="AM154" s="2113">
        <v>0.3</v>
      </c>
      <c r="AN154" s="2113">
        <v>0.3</v>
      </c>
      <c r="AO154" s="2113">
        <v>0.3</v>
      </c>
      <c r="AP154" s="2113">
        <v>0.3</v>
      </c>
      <c r="AQ154" s="2113">
        <v>0.3</v>
      </c>
      <c r="AR154" s="2113">
        <v>0.3</v>
      </c>
      <c r="AS154" s="2113">
        <v>0.3</v>
      </c>
      <c r="AT154" s="2195">
        <v>0</v>
      </c>
      <c r="AU154" s="2129">
        <v>0</v>
      </c>
      <c r="AV154" s="2129">
        <v>0</v>
      </c>
      <c r="AX154" s="2106" t="s">
        <v>1551</v>
      </c>
      <c r="AY154" s="2110" t="s">
        <v>187</v>
      </c>
      <c r="AZ154" s="2107" t="s">
        <v>1403</v>
      </c>
      <c r="BA154" s="2113">
        <v>0.3</v>
      </c>
      <c r="BB154" s="2113">
        <v>0.3</v>
      </c>
      <c r="BC154" s="2113">
        <v>0.3</v>
      </c>
      <c r="BD154" s="2113">
        <v>0.3</v>
      </c>
      <c r="BE154" s="2113">
        <v>0.3</v>
      </c>
      <c r="BF154" s="2113">
        <v>0.3</v>
      </c>
      <c r="BG154" s="2113">
        <v>0.3</v>
      </c>
      <c r="BH154" s="2113">
        <v>0.3</v>
      </c>
      <c r="BI154" s="2113">
        <v>0.3</v>
      </c>
      <c r="BJ154" s="2113">
        <v>0.3</v>
      </c>
      <c r="BK154" s="2195"/>
      <c r="BL154" s="2129"/>
      <c r="BM154" s="2129"/>
      <c r="BO154" s="2106" t="s">
        <v>1551</v>
      </c>
      <c r="BP154" s="2110" t="s">
        <v>187</v>
      </c>
      <c r="BQ154" s="2107" t="s">
        <v>1403</v>
      </c>
      <c r="BR154" s="2113">
        <v>0.3</v>
      </c>
      <c r="BS154" s="2113">
        <v>0.3</v>
      </c>
      <c r="BT154" s="2113">
        <v>0.3</v>
      </c>
      <c r="BU154" s="2113">
        <v>0.3</v>
      </c>
      <c r="BV154" s="2113">
        <v>0.3</v>
      </c>
      <c r="BW154" s="2113">
        <v>0.3</v>
      </c>
      <c r="BX154" s="2113">
        <v>0.3</v>
      </c>
      <c r="BY154" s="2113">
        <v>0.3</v>
      </c>
      <c r="BZ154" s="2113">
        <v>0.3</v>
      </c>
      <c r="CA154" s="2113">
        <v>0.3</v>
      </c>
      <c r="CB154" s="2195"/>
      <c r="CC154" s="2129"/>
      <c r="CD154" s="2129"/>
      <c r="CE154" s="2548"/>
    </row>
    <row r="155" spans="1:84">
      <c r="B155" s="2080" t="str">
        <f t="shared" si="125"/>
        <v>3.2</v>
      </c>
      <c r="C155" s="2107" t="str">
        <f t="shared" si="121"/>
        <v>フロン・ハロンの回避</v>
      </c>
      <c r="D155" s="2104">
        <f>IF(I$153=0,0,G155/I$153)</f>
        <v>0.7</v>
      </c>
      <c r="E155" s="2105">
        <f>IF(J$153=0,0,H155/J$153)</f>
        <v>0</v>
      </c>
      <c r="G155" s="2105">
        <f t="shared" si="122"/>
        <v>0.7</v>
      </c>
      <c r="H155" s="2105">
        <f t="shared" si="123"/>
        <v>0</v>
      </c>
      <c r="I155" s="2105">
        <f>SUM(G156:G158)</f>
        <v>1</v>
      </c>
      <c r="J155" s="2105">
        <f>SUM(H156:H158)</f>
        <v>0</v>
      </c>
      <c r="K155" s="2105">
        <f>IF(スコア!M155=0,0,1)</f>
        <v>1</v>
      </c>
      <c r="L155" s="2105">
        <f>IF(スコア!O155=0,0,1)</f>
        <v>0</v>
      </c>
      <c r="M155" s="2105">
        <f t="shared" si="124"/>
        <v>0.7</v>
      </c>
      <c r="N155" s="2105">
        <f t="shared" si="127"/>
        <v>0</v>
      </c>
      <c r="P155" s="2106" t="str">
        <f t="shared" si="119"/>
        <v>3.2</v>
      </c>
      <c r="Q155" s="2106" t="str">
        <f t="shared" si="120"/>
        <v>LR2 3</v>
      </c>
      <c r="R155" s="2107" t="str">
        <f t="shared" si="99"/>
        <v>フロン・ハロンの回避</v>
      </c>
      <c r="S155" s="2108">
        <f>IF($P$3=1,BA155,IF($P$3=2,BR155,AJ155))</f>
        <v>0.7</v>
      </c>
      <c r="T155" s="2108">
        <f t="shared" si="105"/>
        <v>0.7</v>
      </c>
      <c r="U155" s="2108">
        <f t="shared" si="106"/>
        <v>0.7</v>
      </c>
      <c r="V155" s="2108">
        <f t="shared" si="107"/>
        <v>0.7</v>
      </c>
      <c r="W155" s="2108">
        <f t="shared" si="108"/>
        <v>0.7</v>
      </c>
      <c r="X155" s="2108">
        <f t="shared" si="109"/>
        <v>0.7</v>
      </c>
      <c r="Y155" s="2108">
        <f t="shared" si="110"/>
        <v>0.7</v>
      </c>
      <c r="Z155" s="2117">
        <f t="shared" si="111"/>
        <v>0.7</v>
      </c>
      <c r="AA155" s="2108">
        <f t="shared" si="112"/>
        <v>0.7</v>
      </c>
      <c r="AB155" s="2108">
        <f t="shared" si="113"/>
        <v>0.7</v>
      </c>
      <c r="AC155" s="2194">
        <f t="shared" si="100"/>
        <v>0</v>
      </c>
      <c r="AD155" s="2127">
        <f t="shared" si="101"/>
        <v>0</v>
      </c>
      <c r="AE155" s="2127">
        <f t="shared" si="102"/>
        <v>0</v>
      </c>
      <c r="AG155" s="2106" t="s">
        <v>1552</v>
      </c>
      <c r="AH155" s="2110" t="s">
        <v>187</v>
      </c>
      <c r="AI155" s="2107" t="s">
        <v>188</v>
      </c>
      <c r="AJ155" s="2113">
        <v>0.7</v>
      </c>
      <c r="AK155" s="2113">
        <v>0.7</v>
      </c>
      <c r="AL155" s="2113">
        <v>0.7</v>
      </c>
      <c r="AM155" s="2113">
        <v>0.7</v>
      </c>
      <c r="AN155" s="2113">
        <v>0.7</v>
      </c>
      <c r="AO155" s="2113">
        <v>0.7</v>
      </c>
      <c r="AP155" s="2113">
        <v>0.7</v>
      </c>
      <c r="AQ155" s="2113">
        <v>0.7</v>
      </c>
      <c r="AR155" s="2113">
        <v>0.7</v>
      </c>
      <c r="AS155" s="2113">
        <v>0.7</v>
      </c>
      <c r="AT155" s="2195">
        <v>0</v>
      </c>
      <c r="AU155" s="2129">
        <v>0</v>
      </c>
      <c r="AV155" s="2129">
        <v>0</v>
      </c>
      <c r="AX155" s="2106" t="s">
        <v>1552</v>
      </c>
      <c r="AY155" s="2110" t="s">
        <v>187</v>
      </c>
      <c r="AZ155" s="2107" t="s">
        <v>188</v>
      </c>
      <c r="BA155" s="2113">
        <v>0.7</v>
      </c>
      <c r="BB155" s="2113">
        <v>0.7</v>
      </c>
      <c r="BC155" s="2113">
        <v>0.7</v>
      </c>
      <c r="BD155" s="2113">
        <v>0.7</v>
      </c>
      <c r="BE155" s="2113">
        <v>0.7</v>
      </c>
      <c r="BF155" s="2113">
        <v>0.7</v>
      </c>
      <c r="BG155" s="2113">
        <v>0.7</v>
      </c>
      <c r="BH155" s="2113">
        <v>0.7</v>
      </c>
      <c r="BI155" s="2113">
        <v>0.7</v>
      </c>
      <c r="BJ155" s="2113">
        <v>0.7</v>
      </c>
      <c r="BK155" s="2195"/>
      <c r="BL155" s="2129"/>
      <c r="BM155" s="2129"/>
      <c r="BO155" s="2106" t="s">
        <v>1552</v>
      </c>
      <c r="BP155" s="2110" t="s">
        <v>187</v>
      </c>
      <c r="BQ155" s="2107" t="s">
        <v>188</v>
      </c>
      <c r="BR155" s="2113">
        <v>0.7</v>
      </c>
      <c r="BS155" s="2113">
        <v>0.7</v>
      </c>
      <c r="BT155" s="2113">
        <v>0.7</v>
      </c>
      <c r="BU155" s="2113">
        <v>0.7</v>
      </c>
      <c r="BV155" s="2113">
        <v>0.7</v>
      </c>
      <c r="BW155" s="2113">
        <v>0.7</v>
      </c>
      <c r="BX155" s="2113">
        <v>0.7</v>
      </c>
      <c r="BY155" s="2113">
        <v>0.7</v>
      </c>
      <c r="BZ155" s="2113">
        <v>0.7</v>
      </c>
      <c r="CA155" s="2113">
        <v>0.7</v>
      </c>
      <c r="CB155" s="2195"/>
      <c r="CC155" s="2129"/>
      <c r="CD155" s="2129"/>
      <c r="CE155" s="2548"/>
    </row>
    <row r="156" spans="1:84">
      <c r="B156" s="2080" t="str">
        <f t="shared" si="125"/>
        <v>3.2.1</v>
      </c>
      <c r="C156" s="2103" t="str">
        <f t="shared" si="121"/>
        <v>消火剤</v>
      </c>
      <c r="D156" s="2093">
        <f t="shared" ref="D156:E158" si="128">IF(I$155&gt;0,G156/I$155,0)</f>
        <v>0.33333333333333331</v>
      </c>
      <c r="E156" s="2105">
        <f t="shared" si="128"/>
        <v>0</v>
      </c>
      <c r="G156" s="2105">
        <f t="shared" si="122"/>
        <v>0.33333333333333331</v>
      </c>
      <c r="H156" s="2105">
        <f t="shared" si="123"/>
        <v>0</v>
      </c>
      <c r="I156" s="2105"/>
      <c r="J156" s="2105"/>
      <c r="K156" s="2105">
        <f>IF(スコア!M156=0,0,1)</f>
        <v>1</v>
      </c>
      <c r="L156" s="2105">
        <f>IF(スコア!O156=0,0,1)</f>
        <v>0</v>
      </c>
      <c r="M156" s="2105">
        <f t="shared" si="124"/>
        <v>0.33333333333333331</v>
      </c>
      <c r="N156" s="2105">
        <f t="shared" si="127"/>
        <v>0</v>
      </c>
      <c r="P156" s="2106" t="str">
        <f t="shared" si="119"/>
        <v>3.2.1</v>
      </c>
      <c r="Q156" s="2106" t="str">
        <f t="shared" si="120"/>
        <v>LR2 3.2</v>
      </c>
      <c r="R156" s="2107" t="str">
        <f t="shared" ref="R156:R180" si="129">IF($P$3=1,AZ156,IF($P$3=2,BQ156,AI156))</f>
        <v>消火剤</v>
      </c>
      <c r="S156" s="2108">
        <f t="shared" si="104"/>
        <v>0.33333333333333331</v>
      </c>
      <c r="T156" s="2108">
        <f t="shared" si="105"/>
        <v>0.33333333333333331</v>
      </c>
      <c r="U156" s="2108">
        <f t="shared" si="106"/>
        <v>0.33333333333333331</v>
      </c>
      <c r="V156" s="2108">
        <f t="shared" si="107"/>
        <v>0.33333333333333331</v>
      </c>
      <c r="W156" s="2108">
        <f t="shared" si="108"/>
        <v>0.33333333333333331</v>
      </c>
      <c r="X156" s="2108">
        <f t="shared" si="109"/>
        <v>0.33333333333333331</v>
      </c>
      <c r="Y156" s="2108">
        <f t="shared" si="110"/>
        <v>0.33333333333333331</v>
      </c>
      <c r="Z156" s="2117">
        <f t="shared" si="111"/>
        <v>0.33333333333333331</v>
      </c>
      <c r="AA156" s="2108">
        <f t="shared" si="112"/>
        <v>0.33333333333333331</v>
      </c>
      <c r="AB156" s="2108">
        <f t="shared" si="113"/>
        <v>0.33333333333333331</v>
      </c>
      <c r="AC156" s="2194">
        <f t="shared" ref="AC156:AC180" si="130">IF($P$3=1,BK156,IF($P$3=2,CB156,AT156))</f>
        <v>0</v>
      </c>
      <c r="AD156" s="2127">
        <f t="shared" ref="AD156:AD180" si="131">IF($P$3=1,BL156,IF($P$3=2,CC156,AU156))</f>
        <v>0</v>
      </c>
      <c r="AE156" s="2127">
        <f t="shared" ref="AE156:AE180" si="132">IF($P$3=1,BM156,IF($P$3=2,CD156,AV156))</f>
        <v>0</v>
      </c>
      <c r="AG156" s="2106" t="s">
        <v>1553</v>
      </c>
      <c r="AH156" s="2110" t="s">
        <v>2755</v>
      </c>
      <c r="AI156" s="2111" t="s">
        <v>1554</v>
      </c>
      <c r="AJ156" s="2113">
        <v>0.33333333333333331</v>
      </c>
      <c r="AK156" s="2113">
        <v>0.33333333333333331</v>
      </c>
      <c r="AL156" s="2113">
        <v>0.33333333333333331</v>
      </c>
      <c r="AM156" s="2113">
        <v>0.33333333333333331</v>
      </c>
      <c r="AN156" s="2113">
        <v>0.33333333333333331</v>
      </c>
      <c r="AO156" s="2113">
        <v>0.33333333333333331</v>
      </c>
      <c r="AP156" s="2113">
        <v>0.33333333333333331</v>
      </c>
      <c r="AQ156" s="2113">
        <v>0.33333333333333331</v>
      </c>
      <c r="AR156" s="2113">
        <v>0.33333333333333331</v>
      </c>
      <c r="AS156" s="2113">
        <v>0.33333333333333331</v>
      </c>
      <c r="AT156" s="2195">
        <v>0</v>
      </c>
      <c r="AU156" s="2129">
        <v>0</v>
      </c>
      <c r="AV156" s="2129">
        <v>0</v>
      </c>
      <c r="AX156" s="2106" t="s">
        <v>1553</v>
      </c>
      <c r="AY156" s="2110" t="s">
        <v>2755</v>
      </c>
      <c r="AZ156" s="2111" t="s">
        <v>1554</v>
      </c>
      <c r="BA156" s="2113">
        <v>0.33333333333333331</v>
      </c>
      <c r="BB156" s="2113">
        <v>0.33333333333333331</v>
      </c>
      <c r="BC156" s="2113">
        <v>0.33333333333333331</v>
      </c>
      <c r="BD156" s="2113">
        <v>0.33333333333333331</v>
      </c>
      <c r="BE156" s="2113">
        <v>0.33333333333333331</v>
      </c>
      <c r="BF156" s="2113">
        <v>0.33333333333333331</v>
      </c>
      <c r="BG156" s="2113">
        <v>0.33333333333333331</v>
      </c>
      <c r="BH156" s="2113">
        <v>0.33333333333333331</v>
      </c>
      <c r="BI156" s="2113">
        <v>0.33333333333333331</v>
      </c>
      <c r="BJ156" s="2113">
        <v>0.33333333333333331</v>
      </c>
      <c r="BK156" s="2195"/>
      <c r="BL156" s="2129"/>
      <c r="BM156" s="2129"/>
      <c r="BO156" s="2106" t="s">
        <v>1553</v>
      </c>
      <c r="BP156" s="2110" t="s">
        <v>2755</v>
      </c>
      <c r="BQ156" s="2111" t="s">
        <v>1554</v>
      </c>
      <c r="BR156" s="2113">
        <v>0.33333333333333331</v>
      </c>
      <c r="BS156" s="2113">
        <v>0.33333333333333331</v>
      </c>
      <c r="BT156" s="2113">
        <v>0.33333333333333331</v>
      </c>
      <c r="BU156" s="2113">
        <v>0.33333333333333331</v>
      </c>
      <c r="BV156" s="2113">
        <v>0.33333333333333331</v>
      </c>
      <c r="BW156" s="2113">
        <v>0.33333333333333331</v>
      </c>
      <c r="BX156" s="2113">
        <v>0.33333333333333331</v>
      </c>
      <c r="BY156" s="2113">
        <v>0.33333333333333331</v>
      </c>
      <c r="BZ156" s="2113">
        <v>0.33333333333333331</v>
      </c>
      <c r="CA156" s="2113">
        <v>0.33333333333333331</v>
      </c>
      <c r="CB156" s="2195"/>
      <c r="CC156" s="2129"/>
      <c r="CD156" s="2129"/>
      <c r="CE156" s="2548"/>
    </row>
    <row r="157" spans="1:84">
      <c r="B157" s="2080" t="str">
        <f t="shared" si="125"/>
        <v>3.2.2</v>
      </c>
      <c r="C157" s="2103" t="str">
        <f t="shared" si="121"/>
        <v>発泡剤（断熱材等）</v>
      </c>
      <c r="D157" s="2093">
        <f t="shared" si="128"/>
        <v>0.33333333333333331</v>
      </c>
      <c r="E157" s="2105">
        <f t="shared" si="128"/>
        <v>0</v>
      </c>
      <c r="G157" s="2105">
        <f t="shared" si="122"/>
        <v>0.33333333333333331</v>
      </c>
      <c r="H157" s="2105">
        <f t="shared" si="123"/>
        <v>0</v>
      </c>
      <c r="I157" s="2105"/>
      <c r="J157" s="2105"/>
      <c r="K157" s="2105">
        <f>IF(スコア!M157=0,0,1)</f>
        <v>1</v>
      </c>
      <c r="L157" s="2105">
        <f>IF(スコア!O157=0,0,1)</f>
        <v>0</v>
      </c>
      <c r="M157" s="2105">
        <f t="shared" si="124"/>
        <v>0.33333333333333331</v>
      </c>
      <c r="N157" s="2105">
        <f t="shared" si="127"/>
        <v>0</v>
      </c>
      <c r="P157" s="2106" t="str">
        <f t="shared" si="119"/>
        <v>3.2.2</v>
      </c>
      <c r="Q157" s="2106" t="str">
        <f t="shared" si="120"/>
        <v>LR2 3.2</v>
      </c>
      <c r="R157" s="2107" t="str">
        <f t="shared" si="129"/>
        <v>発泡剤（断熱材等）</v>
      </c>
      <c r="S157" s="2108">
        <f t="shared" si="104"/>
        <v>0.33333333333333331</v>
      </c>
      <c r="T157" s="2108">
        <f t="shared" si="105"/>
        <v>0.33333333333333331</v>
      </c>
      <c r="U157" s="2108">
        <f t="shared" si="106"/>
        <v>0.33333333333333331</v>
      </c>
      <c r="V157" s="2108">
        <f t="shared" si="107"/>
        <v>0.33333333333333331</v>
      </c>
      <c r="W157" s="2108">
        <f t="shared" si="108"/>
        <v>0.33333333333333331</v>
      </c>
      <c r="X157" s="2108">
        <f t="shared" si="109"/>
        <v>0.33333333333333331</v>
      </c>
      <c r="Y157" s="2108">
        <f t="shared" si="110"/>
        <v>0.33333333333333331</v>
      </c>
      <c r="Z157" s="2117">
        <f t="shared" si="111"/>
        <v>0.33333333333333331</v>
      </c>
      <c r="AA157" s="2108">
        <f t="shared" si="112"/>
        <v>0.33333333333333331</v>
      </c>
      <c r="AB157" s="2108">
        <f t="shared" si="113"/>
        <v>0.33333333333333331</v>
      </c>
      <c r="AC157" s="2194">
        <f t="shared" si="130"/>
        <v>0</v>
      </c>
      <c r="AD157" s="2127">
        <f t="shared" si="131"/>
        <v>0</v>
      </c>
      <c r="AE157" s="2127">
        <f t="shared" si="132"/>
        <v>0</v>
      </c>
      <c r="AG157" s="2106" t="s">
        <v>1555</v>
      </c>
      <c r="AH157" s="2110" t="s">
        <v>2755</v>
      </c>
      <c r="AI157" s="2111" t="s">
        <v>2756</v>
      </c>
      <c r="AJ157" s="2113">
        <v>0.33333333333333331</v>
      </c>
      <c r="AK157" s="2113">
        <v>0.33333333333333331</v>
      </c>
      <c r="AL157" s="2113">
        <v>0.33333333333333331</v>
      </c>
      <c r="AM157" s="2113">
        <v>0.33333333333333331</v>
      </c>
      <c r="AN157" s="2113">
        <v>0.33333333333333331</v>
      </c>
      <c r="AO157" s="2113">
        <v>0.33333333333333331</v>
      </c>
      <c r="AP157" s="2113">
        <v>0.33333333333333331</v>
      </c>
      <c r="AQ157" s="2113">
        <v>0.33333333333333331</v>
      </c>
      <c r="AR157" s="2113">
        <v>0.33333333333333331</v>
      </c>
      <c r="AS157" s="2113">
        <v>0.33333333333333331</v>
      </c>
      <c r="AT157" s="2195">
        <v>0</v>
      </c>
      <c r="AU157" s="2129">
        <v>0</v>
      </c>
      <c r="AV157" s="2129">
        <v>0</v>
      </c>
      <c r="AX157" s="2106" t="s">
        <v>1555</v>
      </c>
      <c r="AY157" s="2110" t="s">
        <v>2755</v>
      </c>
      <c r="AZ157" s="2111" t="s">
        <v>2756</v>
      </c>
      <c r="BA157" s="2113">
        <v>0.33333333333333331</v>
      </c>
      <c r="BB157" s="2113">
        <v>0.33333333333333331</v>
      </c>
      <c r="BC157" s="2113">
        <v>0.33333333333333331</v>
      </c>
      <c r="BD157" s="2113">
        <v>0.33333333333333331</v>
      </c>
      <c r="BE157" s="2113">
        <v>0.33333333333333331</v>
      </c>
      <c r="BF157" s="2113">
        <v>0.33333333333333331</v>
      </c>
      <c r="BG157" s="2113">
        <v>0.33333333333333331</v>
      </c>
      <c r="BH157" s="2113">
        <v>0.33333333333333331</v>
      </c>
      <c r="BI157" s="2113">
        <v>0.33333333333333331</v>
      </c>
      <c r="BJ157" s="2113">
        <v>0.33333333333333331</v>
      </c>
      <c r="BK157" s="2195"/>
      <c r="BL157" s="2129"/>
      <c r="BM157" s="2129"/>
      <c r="BO157" s="2106" t="s">
        <v>1555</v>
      </c>
      <c r="BP157" s="2110" t="s">
        <v>2755</v>
      </c>
      <c r="BQ157" s="2111" t="s">
        <v>1556</v>
      </c>
      <c r="BR157" s="2113">
        <v>0.33333333333333331</v>
      </c>
      <c r="BS157" s="2113">
        <v>0.33333333333333331</v>
      </c>
      <c r="BT157" s="2113">
        <v>0.33333333333333331</v>
      </c>
      <c r="BU157" s="2113">
        <v>0.33333333333333331</v>
      </c>
      <c r="BV157" s="2113">
        <v>0.33333333333333331</v>
      </c>
      <c r="BW157" s="2113">
        <v>0.33333333333333331</v>
      </c>
      <c r="BX157" s="2113">
        <v>0.33333333333333331</v>
      </c>
      <c r="BY157" s="2113">
        <v>0.33333333333333331</v>
      </c>
      <c r="BZ157" s="2113">
        <v>0.33333333333333331</v>
      </c>
      <c r="CA157" s="2113">
        <v>0.33333333333333331</v>
      </c>
      <c r="CB157" s="2195"/>
      <c r="CC157" s="2129"/>
      <c r="CD157" s="2129"/>
      <c r="CE157" s="2548"/>
    </row>
    <row r="158" spans="1:84">
      <c r="B158" s="2080" t="str">
        <f t="shared" si="125"/>
        <v>3.2.3</v>
      </c>
      <c r="C158" s="2103" t="str">
        <f t="shared" si="121"/>
        <v>冷媒</v>
      </c>
      <c r="D158" s="2093">
        <f t="shared" si="128"/>
        <v>0.33333333333333331</v>
      </c>
      <c r="E158" s="2105">
        <f t="shared" si="128"/>
        <v>0</v>
      </c>
      <c r="G158" s="2105">
        <f t="shared" si="122"/>
        <v>0.33333333333333331</v>
      </c>
      <c r="H158" s="2105">
        <f t="shared" si="123"/>
        <v>0</v>
      </c>
      <c r="I158" s="2105"/>
      <c r="J158" s="2105"/>
      <c r="K158" s="2105">
        <f>IF(スコア!M158=0,0,1)</f>
        <v>1</v>
      </c>
      <c r="L158" s="2105">
        <f>IF(スコア!O158=0,0,1)</f>
        <v>0</v>
      </c>
      <c r="M158" s="2105">
        <f t="shared" si="124"/>
        <v>0.33333333333333331</v>
      </c>
      <c r="N158" s="2105">
        <f t="shared" si="127"/>
        <v>0</v>
      </c>
      <c r="P158" s="2106" t="str">
        <f t="shared" si="119"/>
        <v>3.2.3</v>
      </c>
      <c r="Q158" s="2106" t="str">
        <f t="shared" si="120"/>
        <v>LR2 3.2</v>
      </c>
      <c r="R158" s="2107" t="str">
        <f t="shared" si="129"/>
        <v>冷媒</v>
      </c>
      <c r="S158" s="2108">
        <f t="shared" si="104"/>
        <v>0.33333333333333331</v>
      </c>
      <c r="T158" s="2108">
        <f t="shared" si="105"/>
        <v>0.33333333333333331</v>
      </c>
      <c r="U158" s="2108">
        <f t="shared" si="106"/>
        <v>0.33333333333333331</v>
      </c>
      <c r="V158" s="2108">
        <f t="shared" si="107"/>
        <v>0.33333333333333331</v>
      </c>
      <c r="W158" s="2108">
        <f t="shared" si="108"/>
        <v>0.33333333333333331</v>
      </c>
      <c r="X158" s="2108">
        <f t="shared" si="109"/>
        <v>0.33333333333333331</v>
      </c>
      <c r="Y158" s="2108">
        <f t="shared" si="110"/>
        <v>0.33333333333333331</v>
      </c>
      <c r="Z158" s="2117">
        <f t="shared" si="111"/>
        <v>0.33333333333333331</v>
      </c>
      <c r="AA158" s="2108">
        <f t="shared" si="112"/>
        <v>0.33333333333333331</v>
      </c>
      <c r="AB158" s="2108">
        <f t="shared" si="113"/>
        <v>0.33333333333333331</v>
      </c>
      <c r="AC158" s="2194">
        <f t="shared" si="130"/>
        <v>0</v>
      </c>
      <c r="AD158" s="2127">
        <f t="shared" si="131"/>
        <v>0</v>
      </c>
      <c r="AE158" s="2127">
        <f t="shared" si="132"/>
        <v>0</v>
      </c>
      <c r="AG158" s="2106" t="s">
        <v>1822</v>
      </c>
      <c r="AH158" s="2110" t="s">
        <v>2755</v>
      </c>
      <c r="AI158" s="2111" t="s">
        <v>2757</v>
      </c>
      <c r="AJ158" s="2113">
        <v>0.33333333333333331</v>
      </c>
      <c r="AK158" s="2113">
        <v>0.33333333333333331</v>
      </c>
      <c r="AL158" s="2113">
        <v>0.33333333333333331</v>
      </c>
      <c r="AM158" s="2113">
        <v>0.33333333333333331</v>
      </c>
      <c r="AN158" s="2113">
        <v>0.33333333333333331</v>
      </c>
      <c r="AO158" s="2113">
        <v>0.33333333333333331</v>
      </c>
      <c r="AP158" s="2113">
        <v>0.33333333333333331</v>
      </c>
      <c r="AQ158" s="2113">
        <v>0.33333333333333331</v>
      </c>
      <c r="AR158" s="2113">
        <v>0.33333333333333331</v>
      </c>
      <c r="AS158" s="2113">
        <v>0.33333333333333331</v>
      </c>
      <c r="AT158" s="2195">
        <v>0</v>
      </c>
      <c r="AU158" s="2129">
        <v>0</v>
      </c>
      <c r="AV158" s="2129">
        <v>0</v>
      </c>
      <c r="AX158" s="2106" t="s">
        <v>1822</v>
      </c>
      <c r="AY158" s="2110" t="s">
        <v>2755</v>
      </c>
      <c r="AZ158" s="2111" t="s">
        <v>2757</v>
      </c>
      <c r="BA158" s="2113">
        <v>0.33333333333333331</v>
      </c>
      <c r="BB158" s="2113">
        <v>0.33333333333333331</v>
      </c>
      <c r="BC158" s="2113">
        <v>0.33333333333333331</v>
      </c>
      <c r="BD158" s="2113">
        <v>0.33333333333333331</v>
      </c>
      <c r="BE158" s="2113">
        <v>0.33333333333333331</v>
      </c>
      <c r="BF158" s="2113">
        <v>0.33333333333333331</v>
      </c>
      <c r="BG158" s="2113">
        <v>0.33333333333333331</v>
      </c>
      <c r="BH158" s="2113">
        <v>0.33333333333333331</v>
      </c>
      <c r="BI158" s="2113">
        <v>0.33333333333333331</v>
      </c>
      <c r="BJ158" s="2113">
        <v>0.33333333333333331</v>
      </c>
      <c r="BK158" s="2195"/>
      <c r="BL158" s="2129"/>
      <c r="BM158" s="2129"/>
      <c r="BO158" s="2106" t="s">
        <v>1822</v>
      </c>
      <c r="BP158" s="2110" t="s">
        <v>2755</v>
      </c>
      <c r="BQ158" s="2111" t="s">
        <v>2757</v>
      </c>
      <c r="BR158" s="2113">
        <v>0.33333333333333331</v>
      </c>
      <c r="BS158" s="2113">
        <v>0.33333333333333331</v>
      </c>
      <c r="BT158" s="2113">
        <v>0.33333333333333331</v>
      </c>
      <c r="BU158" s="2113">
        <v>0.33333333333333331</v>
      </c>
      <c r="BV158" s="2113">
        <v>0.33333333333333331</v>
      </c>
      <c r="BW158" s="2113">
        <v>0.33333333333333331</v>
      </c>
      <c r="BX158" s="2113">
        <v>0.33333333333333331</v>
      </c>
      <c r="BY158" s="2113">
        <v>0.33333333333333331</v>
      </c>
      <c r="BZ158" s="2113">
        <v>0.33333333333333331</v>
      </c>
      <c r="CA158" s="2113">
        <v>0.33333333333333331</v>
      </c>
      <c r="CB158" s="2195"/>
      <c r="CC158" s="2129"/>
      <c r="CD158" s="2129"/>
      <c r="CE158" s="2548"/>
    </row>
    <row r="159" spans="1:84" s="1485" customFormat="1">
      <c r="A159"/>
      <c r="B159" s="2080" t="str">
        <f t="shared" si="125"/>
        <v>LR3</v>
      </c>
      <c r="C159" s="2081" t="str">
        <f t="shared" si="121"/>
        <v>敷地外環境</v>
      </c>
      <c r="D159" s="2176">
        <f>IF(I$116=0,0,G159/I$116)</f>
        <v>0.3</v>
      </c>
      <c r="E159" s="2083">
        <f>IF(J$116=0,0,H159/J$116)</f>
        <v>0</v>
      </c>
      <c r="F159"/>
      <c r="G159" s="2083">
        <f t="shared" si="122"/>
        <v>0.3</v>
      </c>
      <c r="H159" s="2083">
        <f t="shared" si="123"/>
        <v>0</v>
      </c>
      <c r="I159" s="2083">
        <f>G160+G161+G169</f>
        <v>1</v>
      </c>
      <c r="J159" s="2083">
        <f>H160+H161+H169</f>
        <v>0</v>
      </c>
      <c r="K159" s="2083">
        <f>IF(スコア!Q159=0,0,1)</f>
        <v>1</v>
      </c>
      <c r="L159" s="2083">
        <f>IF(スコア!O159=0,0,1)</f>
        <v>0</v>
      </c>
      <c r="M159" s="2083">
        <f t="shared" si="124"/>
        <v>0.3</v>
      </c>
      <c r="N159" s="2083">
        <f t="shared" si="127"/>
        <v>0</v>
      </c>
      <c r="O159"/>
      <c r="P159" s="2182" t="str">
        <f t="shared" si="119"/>
        <v>LR3</v>
      </c>
      <c r="Q159" s="2182" t="str">
        <f t="shared" si="120"/>
        <v>LR</v>
      </c>
      <c r="R159" s="2084" t="str">
        <f t="shared" si="129"/>
        <v>敷地外環境</v>
      </c>
      <c r="S159" s="2085">
        <f t="shared" si="104"/>
        <v>0.3</v>
      </c>
      <c r="T159" s="2085">
        <f t="shared" si="105"/>
        <v>0.3</v>
      </c>
      <c r="U159" s="2085">
        <f t="shared" si="106"/>
        <v>0.3</v>
      </c>
      <c r="V159" s="2085">
        <f t="shared" si="107"/>
        <v>0.3</v>
      </c>
      <c r="W159" s="2085">
        <f t="shared" si="108"/>
        <v>0.3</v>
      </c>
      <c r="X159" s="2085">
        <f t="shared" si="109"/>
        <v>0.3</v>
      </c>
      <c r="Y159" s="2085">
        <f t="shared" si="110"/>
        <v>0.3</v>
      </c>
      <c r="Z159" s="2085">
        <f t="shared" si="111"/>
        <v>0.3</v>
      </c>
      <c r="AA159" s="2085">
        <f t="shared" si="112"/>
        <v>0.3</v>
      </c>
      <c r="AB159" s="2085">
        <f t="shared" si="113"/>
        <v>0.3</v>
      </c>
      <c r="AC159" s="2184">
        <f t="shared" si="130"/>
        <v>0</v>
      </c>
      <c r="AD159" s="2185">
        <f t="shared" si="131"/>
        <v>0</v>
      </c>
      <c r="AE159" s="2185">
        <f t="shared" si="132"/>
        <v>0</v>
      </c>
      <c r="AF159"/>
      <c r="AG159" s="2182" t="s">
        <v>1823</v>
      </c>
      <c r="AH159" s="2186" t="s">
        <v>1824</v>
      </c>
      <c r="AI159" s="2084" t="s">
        <v>1825</v>
      </c>
      <c r="AJ159" s="2088">
        <v>0.3</v>
      </c>
      <c r="AK159" s="2088">
        <v>0.3</v>
      </c>
      <c r="AL159" s="2088">
        <v>0.3</v>
      </c>
      <c r="AM159" s="2088">
        <v>0.3</v>
      </c>
      <c r="AN159" s="2088">
        <v>0.3</v>
      </c>
      <c r="AO159" s="2088">
        <v>0.3</v>
      </c>
      <c r="AP159" s="2088">
        <v>0.3</v>
      </c>
      <c r="AQ159" s="2088">
        <v>0.3</v>
      </c>
      <c r="AR159" s="2088">
        <v>0.3</v>
      </c>
      <c r="AS159" s="2088">
        <v>0.3</v>
      </c>
      <c r="AT159" s="2188">
        <v>0</v>
      </c>
      <c r="AU159" s="2189">
        <v>0</v>
      </c>
      <c r="AV159" s="2189">
        <v>0</v>
      </c>
      <c r="AW159"/>
      <c r="AX159" s="2182" t="s">
        <v>1823</v>
      </c>
      <c r="AY159" s="2186" t="s">
        <v>1824</v>
      </c>
      <c r="AZ159" s="2084" t="s">
        <v>1825</v>
      </c>
      <c r="BA159" s="2088">
        <v>0.3</v>
      </c>
      <c r="BB159" s="2088">
        <v>0.3</v>
      </c>
      <c r="BC159" s="2088">
        <v>0.3</v>
      </c>
      <c r="BD159" s="2088">
        <v>0.3</v>
      </c>
      <c r="BE159" s="2088">
        <v>0.3</v>
      </c>
      <c r="BF159" s="2088">
        <v>0.3</v>
      </c>
      <c r="BG159" s="2088">
        <v>0.3</v>
      </c>
      <c r="BH159" s="2088">
        <v>0.3</v>
      </c>
      <c r="BI159" s="2088">
        <v>0.3</v>
      </c>
      <c r="BJ159" s="2088">
        <v>0.3</v>
      </c>
      <c r="BK159" s="2188"/>
      <c r="BL159" s="2189"/>
      <c r="BM159" s="2189"/>
      <c r="BN159"/>
      <c r="BO159" s="2182" t="s">
        <v>1823</v>
      </c>
      <c r="BP159" s="2186" t="s">
        <v>1824</v>
      </c>
      <c r="BQ159" s="2084" t="s">
        <v>1825</v>
      </c>
      <c r="BR159" s="2088">
        <v>0.3</v>
      </c>
      <c r="BS159" s="2088">
        <v>0.3</v>
      </c>
      <c r="BT159" s="2088">
        <v>0.3</v>
      </c>
      <c r="BU159" s="2088">
        <v>0.3</v>
      </c>
      <c r="BV159" s="2088">
        <v>0.3</v>
      </c>
      <c r="BW159" s="2088">
        <v>0.3</v>
      </c>
      <c r="BX159" s="2088">
        <v>0.3</v>
      </c>
      <c r="BY159" s="2088">
        <v>0.3</v>
      </c>
      <c r="BZ159" s="2088">
        <v>0.3</v>
      </c>
      <c r="CA159" s="2088">
        <v>0.3</v>
      </c>
      <c r="CB159" s="2188"/>
      <c r="CC159" s="2189"/>
      <c r="CD159" s="2189"/>
      <c r="CE159" s="2558"/>
      <c r="CF159"/>
    </row>
    <row r="160" spans="1:84" s="1485" customFormat="1">
      <c r="A160"/>
      <c r="B160" s="2087">
        <f t="shared" si="125"/>
        <v>1</v>
      </c>
      <c r="C160" s="2095" t="str">
        <f t="shared" si="121"/>
        <v>地球温暖化への配慮</v>
      </c>
      <c r="D160" s="2091">
        <f>IF(I$159=0,0,G160/I$159)</f>
        <v>0.33333333333333331</v>
      </c>
      <c r="E160" s="2091">
        <f>IF(J$159=0,0,H160/J$159)</f>
        <v>0</v>
      </c>
      <c r="F160"/>
      <c r="G160" s="2092">
        <f t="shared" si="122"/>
        <v>0.33333333333333331</v>
      </c>
      <c r="H160" s="2092">
        <f t="shared" si="123"/>
        <v>0</v>
      </c>
      <c r="I160" s="2092"/>
      <c r="J160" s="2092"/>
      <c r="K160" s="2092">
        <f>IF(スコア!M160=0,0,1)</f>
        <v>1</v>
      </c>
      <c r="L160" s="2092">
        <f>IF(スコア!O160=0,0,1)</f>
        <v>0</v>
      </c>
      <c r="M160" s="2092">
        <f t="shared" si="124"/>
        <v>0.33333333333333331</v>
      </c>
      <c r="N160" s="2092">
        <f t="shared" si="127"/>
        <v>0</v>
      </c>
      <c r="O160"/>
      <c r="P160" s="2197">
        <f t="shared" si="119"/>
        <v>1</v>
      </c>
      <c r="Q160" s="2099" t="str">
        <f t="shared" si="120"/>
        <v>LR3</v>
      </c>
      <c r="R160" s="2095" t="str">
        <f t="shared" si="129"/>
        <v>地球温暖化への配慮</v>
      </c>
      <c r="S160" s="2100">
        <f t="shared" ref="S160:S180" si="133">IF($P$3=1,BA160,IF($P$3=2,BR160,AJ160))</f>
        <v>0.33333333333333331</v>
      </c>
      <c r="T160" s="2100">
        <f t="shared" ref="T160:T180" si="134">IF($P$3=1,BB160,IF($P$3=2,BS160,AK160))</f>
        <v>0.33333333333333331</v>
      </c>
      <c r="U160" s="2100">
        <f t="shared" ref="U160:U180" si="135">IF($P$3=1,BC160,IF($P$3=2,BT160,AL160))</f>
        <v>0.33333333333333331</v>
      </c>
      <c r="V160" s="2100">
        <f t="shared" ref="V160:V180" si="136">IF($P$3=1,BD160,IF($P$3=2,BU160,AM160))</f>
        <v>0.33333333333333331</v>
      </c>
      <c r="W160" s="2100">
        <f t="shared" ref="W160:W180" si="137">IF($P$3=1,BE160,IF($P$3=2,BV160,AN160))</f>
        <v>0.33333333333333331</v>
      </c>
      <c r="X160" s="2100">
        <f t="shared" ref="X160:X180" si="138">IF($P$3=1,BF160,IF($P$3=2,BW160,AO160))</f>
        <v>0.33333333333333331</v>
      </c>
      <c r="Y160" s="2100">
        <f t="shared" ref="Y160:Y180" si="139">IF($P$3=1,BG160,IF($P$3=2,BX160,AP160))</f>
        <v>0.33333333333333331</v>
      </c>
      <c r="Z160" s="2100">
        <f t="shared" ref="Z160:Z180" si="140">IF($P$3=1,BH160,IF($P$3=2,BY160,AQ160))</f>
        <v>0.33333333333333331</v>
      </c>
      <c r="AA160" s="2100">
        <f t="shared" ref="AA160:AA180" si="141">IF($P$3=1,BI160,IF($P$3=2,BZ160,AR160))</f>
        <v>0.33333333333333331</v>
      </c>
      <c r="AB160" s="2100">
        <f t="shared" ref="AB160:AB180" si="142">IF($P$3=1,BJ160,IF($P$3=2,CA160,AS160))</f>
        <v>0.33333333333333331</v>
      </c>
      <c r="AC160" s="2098">
        <f t="shared" si="130"/>
        <v>0</v>
      </c>
      <c r="AD160" s="2096">
        <f t="shared" si="131"/>
        <v>0</v>
      </c>
      <c r="AE160" s="2096">
        <f t="shared" si="132"/>
        <v>0</v>
      </c>
      <c r="AF160"/>
      <c r="AG160" s="2094">
        <v>1</v>
      </c>
      <c r="AH160" s="2099" t="s">
        <v>1725</v>
      </c>
      <c r="AI160" s="2095" t="s">
        <v>747</v>
      </c>
      <c r="AJ160" s="2100">
        <v>0.33333333333333331</v>
      </c>
      <c r="AK160" s="2100">
        <v>0.33333333333333331</v>
      </c>
      <c r="AL160" s="2100">
        <v>0.33333333333333331</v>
      </c>
      <c r="AM160" s="2100">
        <v>0.33333333333333331</v>
      </c>
      <c r="AN160" s="2100">
        <v>0.33333333333333331</v>
      </c>
      <c r="AO160" s="2100">
        <v>0.33333333333333331</v>
      </c>
      <c r="AP160" s="2100">
        <v>0.33333333333333331</v>
      </c>
      <c r="AQ160" s="2100">
        <v>0.33333333333333331</v>
      </c>
      <c r="AR160" s="2100">
        <v>0.33333333333333331</v>
      </c>
      <c r="AS160" s="2100">
        <v>0.33333333333333331</v>
      </c>
      <c r="AT160" s="2101">
        <v>0</v>
      </c>
      <c r="AU160" s="2100">
        <v>0</v>
      </c>
      <c r="AV160" s="2100">
        <v>0</v>
      </c>
      <c r="AW160"/>
      <c r="AX160" s="2094">
        <v>1</v>
      </c>
      <c r="AY160" s="2099" t="s">
        <v>1725</v>
      </c>
      <c r="AZ160" s="2095" t="s">
        <v>747</v>
      </c>
      <c r="BA160" s="2100">
        <f t="shared" ref="BA160:BJ161" si="143">1/3</f>
        <v>0.33333333333333331</v>
      </c>
      <c r="BB160" s="2100">
        <f t="shared" si="143"/>
        <v>0.33333333333333331</v>
      </c>
      <c r="BC160" s="2100">
        <f t="shared" si="143"/>
        <v>0.33333333333333331</v>
      </c>
      <c r="BD160" s="2100">
        <f t="shared" si="143"/>
        <v>0.33333333333333331</v>
      </c>
      <c r="BE160" s="2100">
        <f t="shared" si="143"/>
        <v>0.33333333333333331</v>
      </c>
      <c r="BF160" s="2100">
        <f t="shared" si="143"/>
        <v>0.33333333333333331</v>
      </c>
      <c r="BG160" s="2100">
        <f t="shared" si="143"/>
        <v>0.33333333333333331</v>
      </c>
      <c r="BH160" s="2100">
        <f t="shared" si="143"/>
        <v>0.33333333333333331</v>
      </c>
      <c r="BI160" s="2100">
        <f t="shared" si="143"/>
        <v>0.33333333333333331</v>
      </c>
      <c r="BJ160" s="2100">
        <f t="shared" si="143"/>
        <v>0.33333333333333331</v>
      </c>
      <c r="BK160" s="2101"/>
      <c r="BL160" s="2100"/>
      <c r="BM160" s="2100"/>
      <c r="BN160"/>
      <c r="BO160" s="2094">
        <v>1</v>
      </c>
      <c r="BP160" s="2099" t="s">
        <v>1725</v>
      </c>
      <c r="BQ160" s="2095" t="s">
        <v>747</v>
      </c>
      <c r="BR160" s="2100">
        <f t="shared" ref="BR160:CA161" si="144">1/3</f>
        <v>0.33333333333333331</v>
      </c>
      <c r="BS160" s="2100">
        <f t="shared" si="144"/>
        <v>0.33333333333333331</v>
      </c>
      <c r="BT160" s="2100">
        <f t="shared" si="144"/>
        <v>0.33333333333333331</v>
      </c>
      <c r="BU160" s="2100">
        <f t="shared" si="144"/>
        <v>0.33333333333333331</v>
      </c>
      <c r="BV160" s="2100">
        <f t="shared" si="144"/>
        <v>0.33333333333333331</v>
      </c>
      <c r="BW160" s="2100">
        <f t="shared" si="144"/>
        <v>0.33333333333333331</v>
      </c>
      <c r="BX160" s="2100">
        <f t="shared" si="144"/>
        <v>0.33333333333333331</v>
      </c>
      <c r="BY160" s="2100">
        <f t="shared" si="144"/>
        <v>0.33333333333333331</v>
      </c>
      <c r="BZ160" s="2100">
        <f t="shared" si="144"/>
        <v>0.33333333333333331</v>
      </c>
      <c r="CA160" s="2100">
        <f t="shared" si="144"/>
        <v>0.33333333333333331</v>
      </c>
      <c r="CB160" s="2101"/>
      <c r="CC160" s="2100"/>
      <c r="CD160" s="2100"/>
      <c r="CE160" s="2553"/>
      <c r="CF160"/>
    </row>
    <row r="161" spans="1:84" s="1485" customFormat="1">
      <c r="A161"/>
      <c r="B161" s="2080">
        <f t="shared" si="125"/>
        <v>2</v>
      </c>
      <c r="C161" s="2095" t="str">
        <f t="shared" si="121"/>
        <v>地域環境への配慮</v>
      </c>
      <c r="D161" s="2091">
        <f>IF(I$159=0,0,G161/I$159)</f>
        <v>0.33333333333333331</v>
      </c>
      <c r="E161" s="2091">
        <f>IF(J$159=0,0,H161/J$159)</f>
        <v>0</v>
      </c>
      <c r="F161"/>
      <c r="G161" s="2092">
        <f t="shared" si="122"/>
        <v>0.33333333333333331</v>
      </c>
      <c r="H161" s="2092">
        <f t="shared" si="123"/>
        <v>0</v>
      </c>
      <c r="I161" s="2092">
        <f>G162+G163+G164</f>
        <v>1</v>
      </c>
      <c r="J161" s="2092">
        <f>H162+H163+H164</f>
        <v>0</v>
      </c>
      <c r="K161" s="2092">
        <f>IF(スコア!M161=0,0,1)</f>
        <v>1</v>
      </c>
      <c r="L161" s="2092">
        <f>IF(スコア!O161=0,0,1)</f>
        <v>0</v>
      </c>
      <c r="M161" s="2092">
        <f t="shared" si="124"/>
        <v>0.33333333333333331</v>
      </c>
      <c r="N161" s="2092">
        <f t="shared" si="127"/>
        <v>0</v>
      </c>
      <c r="O161"/>
      <c r="P161" s="2197">
        <f t="shared" si="119"/>
        <v>2</v>
      </c>
      <c r="Q161" s="2099" t="str">
        <f t="shared" si="120"/>
        <v>LR3</v>
      </c>
      <c r="R161" s="2095" t="str">
        <f t="shared" si="129"/>
        <v>地域環境への配慮</v>
      </c>
      <c r="S161" s="2100">
        <f t="shared" si="133"/>
        <v>0.33333333333333331</v>
      </c>
      <c r="T161" s="2100">
        <f t="shared" si="134"/>
        <v>0.33333333333333331</v>
      </c>
      <c r="U161" s="2100">
        <f t="shared" si="135"/>
        <v>0.33333333333333331</v>
      </c>
      <c r="V161" s="2100">
        <f t="shared" si="136"/>
        <v>0.33333333333333331</v>
      </c>
      <c r="W161" s="2100">
        <f t="shared" si="137"/>
        <v>0.33333333333333331</v>
      </c>
      <c r="X161" s="2100">
        <f t="shared" si="138"/>
        <v>0.33333333333333331</v>
      </c>
      <c r="Y161" s="2100">
        <f t="shared" si="139"/>
        <v>0.33333333333333331</v>
      </c>
      <c r="Z161" s="2100">
        <f t="shared" si="140"/>
        <v>0.33333333333333331</v>
      </c>
      <c r="AA161" s="2100">
        <f t="shared" si="141"/>
        <v>0.33333333333333331</v>
      </c>
      <c r="AB161" s="2100">
        <f t="shared" si="142"/>
        <v>0.33333333333333331</v>
      </c>
      <c r="AC161" s="2098">
        <f t="shared" si="130"/>
        <v>0</v>
      </c>
      <c r="AD161" s="2096">
        <f t="shared" si="131"/>
        <v>0</v>
      </c>
      <c r="AE161" s="2096">
        <f t="shared" si="132"/>
        <v>0</v>
      </c>
      <c r="AF161"/>
      <c r="AG161" s="2094">
        <v>2</v>
      </c>
      <c r="AH161" s="2099" t="s">
        <v>1725</v>
      </c>
      <c r="AI161" s="2095" t="s">
        <v>748</v>
      </c>
      <c r="AJ161" s="2100">
        <v>0.33333333333333331</v>
      </c>
      <c r="AK161" s="2100">
        <v>0.33333333333333331</v>
      </c>
      <c r="AL161" s="2100">
        <v>0.33333333333333331</v>
      </c>
      <c r="AM161" s="2100">
        <v>0.33333333333333331</v>
      </c>
      <c r="AN161" s="2100">
        <v>0.33333333333333331</v>
      </c>
      <c r="AO161" s="2100">
        <v>0.33333333333333331</v>
      </c>
      <c r="AP161" s="2100">
        <v>0.33333333333333331</v>
      </c>
      <c r="AQ161" s="2100">
        <v>0.33333333333333331</v>
      </c>
      <c r="AR161" s="2100">
        <v>0.33333333333333331</v>
      </c>
      <c r="AS161" s="2100">
        <v>0.33333333333333331</v>
      </c>
      <c r="AT161" s="2101">
        <v>0</v>
      </c>
      <c r="AU161" s="2100">
        <v>0</v>
      </c>
      <c r="AV161" s="2100">
        <v>0</v>
      </c>
      <c r="AW161"/>
      <c r="AX161" s="2094">
        <v>2</v>
      </c>
      <c r="AY161" s="2099" t="s">
        <v>1725</v>
      </c>
      <c r="AZ161" s="2095" t="s">
        <v>748</v>
      </c>
      <c r="BA161" s="2100">
        <f t="shared" si="143"/>
        <v>0.33333333333333331</v>
      </c>
      <c r="BB161" s="2100">
        <f t="shared" si="143"/>
        <v>0.33333333333333331</v>
      </c>
      <c r="BC161" s="2100">
        <f t="shared" si="143"/>
        <v>0.33333333333333331</v>
      </c>
      <c r="BD161" s="2100">
        <f t="shared" si="143"/>
        <v>0.33333333333333331</v>
      </c>
      <c r="BE161" s="2100">
        <f t="shared" si="143"/>
        <v>0.33333333333333331</v>
      </c>
      <c r="BF161" s="2100">
        <f t="shared" si="143"/>
        <v>0.33333333333333331</v>
      </c>
      <c r="BG161" s="2100">
        <f t="shared" si="143"/>
        <v>0.33333333333333331</v>
      </c>
      <c r="BH161" s="2100">
        <f t="shared" si="143"/>
        <v>0.33333333333333331</v>
      </c>
      <c r="BI161" s="2100">
        <f t="shared" si="143"/>
        <v>0.33333333333333331</v>
      </c>
      <c r="BJ161" s="2100">
        <f t="shared" si="143"/>
        <v>0.33333333333333331</v>
      </c>
      <c r="BK161" s="2101"/>
      <c r="BL161" s="2100"/>
      <c r="BM161" s="2100"/>
      <c r="BN161"/>
      <c r="BO161" s="2094">
        <v>2</v>
      </c>
      <c r="BP161" s="2099" t="s">
        <v>1725</v>
      </c>
      <c r="BQ161" s="2095" t="s">
        <v>748</v>
      </c>
      <c r="BR161" s="2100">
        <f t="shared" si="144"/>
        <v>0.33333333333333331</v>
      </c>
      <c r="BS161" s="2100">
        <f t="shared" si="144"/>
        <v>0.33333333333333331</v>
      </c>
      <c r="BT161" s="2100">
        <f t="shared" si="144"/>
        <v>0.33333333333333331</v>
      </c>
      <c r="BU161" s="2100">
        <f t="shared" si="144"/>
        <v>0.33333333333333331</v>
      </c>
      <c r="BV161" s="2100">
        <f t="shared" si="144"/>
        <v>0.33333333333333331</v>
      </c>
      <c r="BW161" s="2100">
        <f t="shared" si="144"/>
        <v>0.33333333333333331</v>
      </c>
      <c r="BX161" s="2100">
        <f t="shared" si="144"/>
        <v>0.33333333333333331</v>
      </c>
      <c r="BY161" s="2100">
        <f t="shared" si="144"/>
        <v>0.33333333333333331</v>
      </c>
      <c r="BZ161" s="2100">
        <f t="shared" si="144"/>
        <v>0.33333333333333331</v>
      </c>
      <c r="CA161" s="2100">
        <f t="shared" si="144"/>
        <v>0.33333333333333331</v>
      </c>
      <c r="CB161" s="2101"/>
      <c r="CC161" s="2100"/>
      <c r="CD161" s="2100"/>
      <c r="CE161" s="2553"/>
      <c r="CF161"/>
    </row>
    <row r="162" spans="1:84">
      <c r="B162" s="2080" t="str">
        <f t="shared" si="125"/>
        <v>2.1</v>
      </c>
      <c r="C162" s="2107" t="str">
        <f t="shared" si="121"/>
        <v>大気汚染防止</v>
      </c>
      <c r="D162" s="2104">
        <f t="shared" ref="D162:E164" si="145">IF(I$161=0,0,G162/I$161)</f>
        <v>0.25</v>
      </c>
      <c r="E162" s="2104">
        <f t="shared" si="145"/>
        <v>0</v>
      </c>
      <c r="G162" s="2105">
        <f t="shared" si="122"/>
        <v>0.25</v>
      </c>
      <c r="H162" s="2105">
        <f t="shared" si="123"/>
        <v>0</v>
      </c>
      <c r="I162" s="2105"/>
      <c r="J162" s="2105"/>
      <c r="K162" s="2105">
        <f>IF(スコア!M162=0,0,1)</f>
        <v>1</v>
      </c>
      <c r="L162" s="2105">
        <f>IF(スコア!O162=0,0,1)</f>
        <v>0</v>
      </c>
      <c r="M162" s="2105">
        <f t="shared" si="124"/>
        <v>0.25</v>
      </c>
      <c r="N162" s="2105">
        <f t="shared" si="127"/>
        <v>0</v>
      </c>
      <c r="P162" s="2198" t="str">
        <f t="shared" si="119"/>
        <v>2.1</v>
      </c>
      <c r="Q162" s="2110" t="str">
        <f t="shared" si="120"/>
        <v>LR3 2</v>
      </c>
      <c r="R162" s="2107" t="str">
        <f t="shared" si="129"/>
        <v>大気汚染防止</v>
      </c>
      <c r="S162" s="2113">
        <f t="shared" si="133"/>
        <v>0.25</v>
      </c>
      <c r="T162" s="2113">
        <f t="shared" si="134"/>
        <v>0.25</v>
      </c>
      <c r="U162" s="2113">
        <f t="shared" si="135"/>
        <v>0.25</v>
      </c>
      <c r="V162" s="2113">
        <f t="shared" si="136"/>
        <v>0.25</v>
      </c>
      <c r="W162" s="2113">
        <f t="shared" si="137"/>
        <v>0.25</v>
      </c>
      <c r="X162" s="2113">
        <f t="shared" si="138"/>
        <v>0.25</v>
      </c>
      <c r="Y162" s="2113">
        <f t="shared" si="139"/>
        <v>0.25</v>
      </c>
      <c r="Z162" s="2113">
        <f t="shared" si="140"/>
        <v>0.25</v>
      </c>
      <c r="AA162" s="2113">
        <f t="shared" si="141"/>
        <v>0.25</v>
      </c>
      <c r="AB162" s="2113">
        <f t="shared" si="142"/>
        <v>0.25</v>
      </c>
      <c r="AC162" s="2109">
        <f t="shared" si="130"/>
        <v>0</v>
      </c>
      <c r="AD162" s="2108">
        <f t="shared" si="131"/>
        <v>0</v>
      </c>
      <c r="AE162" s="2108">
        <f t="shared" si="132"/>
        <v>0</v>
      </c>
      <c r="AG162" s="2199" t="s">
        <v>1826</v>
      </c>
      <c r="AH162" s="2110" t="s">
        <v>2758</v>
      </c>
      <c r="AI162" s="2107" t="s">
        <v>749</v>
      </c>
      <c r="AJ162" s="2113">
        <v>0.25</v>
      </c>
      <c r="AK162" s="2113">
        <v>0.25</v>
      </c>
      <c r="AL162" s="2113">
        <v>0.25</v>
      </c>
      <c r="AM162" s="2113">
        <v>0.25</v>
      </c>
      <c r="AN162" s="2113">
        <v>0.25</v>
      </c>
      <c r="AO162" s="2113">
        <v>0.25</v>
      </c>
      <c r="AP162" s="2113">
        <v>0.25</v>
      </c>
      <c r="AQ162" s="2113">
        <v>0.25</v>
      </c>
      <c r="AR162" s="2113">
        <v>0.25</v>
      </c>
      <c r="AS162" s="2113">
        <v>0.25</v>
      </c>
      <c r="AT162" s="2114"/>
      <c r="AU162" s="2113"/>
      <c r="AV162" s="2113"/>
      <c r="AX162" s="2199" t="s">
        <v>1827</v>
      </c>
      <c r="AY162" s="2110" t="s">
        <v>2758</v>
      </c>
      <c r="AZ162" s="2107" t="s">
        <v>749</v>
      </c>
      <c r="BA162" s="2113">
        <v>0.25</v>
      </c>
      <c r="BB162" s="2113">
        <v>0.25</v>
      </c>
      <c r="BC162" s="2113">
        <v>0.25</v>
      </c>
      <c r="BD162" s="2113">
        <v>0.25</v>
      </c>
      <c r="BE162" s="2113">
        <v>0.25</v>
      </c>
      <c r="BF162" s="2113">
        <v>0.25</v>
      </c>
      <c r="BG162" s="2113">
        <v>0.25</v>
      </c>
      <c r="BH162" s="2113">
        <v>0.25</v>
      </c>
      <c r="BI162" s="2113">
        <v>0.25</v>
      </c>
      <c r="BJ162" s="2113">
        <v>0.25</v>
      </c>
      <c r="BK162" s="2114"/>
      <c r="BL162" s="2113"/>
      <c r="BM162" s="2113"/>
      <c r="BO162" s="2199" t="s">
        <v>1827</v>
      </c>
      <c r="BP162" s="2110" t="s">
        <v>2758</v>
      </c>
      <c r="BQ162" s="2107" t="s">
        <v>749</v>
      </c>
      <c r="BR162" s="2113">
        <v>0.25</v>
      </c>
      <c r="BS162" s="2113">
        <v>0.25</v>
      </c>
      <c r="BT162" s="2113">
        <v>0.25</v>
      </c>
      <c r="BU162" s="2113">
        <v>0.25</v>
      </c>
      <c r="BV162" s="2113">
        <v>0.25</v>
      </c>
      <c r="BW162" s="2113">
        <v>0.25</v>
      </c>
      <c r="BX162" s="2113">
        <v>0.25</v>
      </c>
      <c r="BY162" s="2113">
        <v>0.25</v>
      </c>
      <c r="BZ162" s="2113">
        <v>0.25</v>
      </c>
      <c r="CA162" s="2113">
        <v>0.25</v>
      </c>
      <c r="CB162" s="2114"/>
      <c r="CC162" s="2113"/>
      <c r="CD162" s="2113"/>
      <c r="CE162" s="2554"/>
    </row>
    <row r="163" spans="1:84">
      <c r="B163" s="2080" t="str">
        <f t="shared" si="125"/>
        <v>2.2</v>
      </c>
      <c r="C163" s="2107" t="str">
        <f t="shared" si="121"/>
        <v>温熱環境悪化の改善</v>
      </c>
      <c r="D163" s="2104">
        <f t="shared" si="145"/>
        <v>0.5</v>
      </c>
      <c r="E163" s="2104">
        <f t="shared" si="145"/>
        <v>0</v>
      </c>
      <c r="G163" s="2105">
        <f t="shared" si="122"/>
        <v>0.5</v>
      </c>
      <c r="H163" s="2105">
        <f t="shared" si="123"/>
        <v>0</v>
      </c>
      <c r="I163" s="2105"/>
      <c r="J163" s="2105"/>
      <c r="K163" s="2105">
        <f>IF(スコア!M163=0,0,1)</f>
        <v>1</v>
      </c>
      <c r="L163" s="2105">
        <f>IF(スコア!O163=0,0,1)</f>
        <v>0</v>
      </c>
      <c r="M163" s="2105">
        <f t="shared" si="124"/>
        <v>0.5</v>
      </c>
      <c r="N163" s="2105">
        <f t="shared" si="127"/>
        <v>0</v>
      </c>
      <c r="P163" s="2198" t="str">
        <f t="shared" si="119"/>
        <v>2.2</v>
      </c>
      <c r="Q163" s="2110" t="str">
        <f t="shared" si="120"/>
        <v>LR3 2</v>
      </c>
      <c r="R163" s="2107" t="str">
        <f t="shared" si="129"/>
        <v>温熱環境悪化の改善</v>
      </c>
      <c r="S163" s="2168">
        <f t="shared" si="133"/>
        <v>0.5</v>
      </c>
      <c r="T163" s="2168">
        <f t="shared" si="134"/>
        <v>0.5</v>
      </c>
      <c r="U163" s="2168">
        <f t="shared" si="135"/>
        <v>0.5</v>
      </c>
      <c r="V163" s="2168">
        <f t="shared" si="136"/>
        <v>0.5</v>
      </c>
      <c r="W163" s="2168">
        <f t="shared" si="137"/>
        <v>0.5</v>
      </c>
      <c r="X163" s="2168">
        <f t="shared" si="138"/>
        <v>0.5</v>
      </c>
      <c r="Y163" s="2168">
        <f t="shared" si="139"/>
        <v>0.5</v>
      </c>
      <c r="Z163" s="2168">
        <f t="shared" si="140"/>
        <v>0.5</v>
      </c>
      <c r="AA163" s="2168">
        <f t="shared" si="141"/>
        <v>0.5</v>
      </c>
      <c r="AB163" s="2168">
        <f t="shared" si="142"/>
        <v>0.5</v>
      </c>
      <c r="AC163" s="2167">
        <f t="shared" si="130"/>
        <v>0</v>
      </c>
      <c r="AD163" s="2166">
        <f t="shared" si="131"/>
        <v>0</v>
      </c>
      <c r="AE163" s="2166">
        <f t="shared" si="132"/>
        <v>0</v>
      </c>
      <c r="AG163" s="2199" t="s">
        <v>1828</v>
      </c>
      <c r="AH163" s="2110" t="s">
        <v>2758</v>
      </c>
      <c r="AI163" s="2107" t="s">
        <v>2093</v>
      </c>
      <c r="AJ163" s="2168">
        <v>0.5</v>
      </c>
      <c r="AK163" s="2168">
        <v>0.5</v>
      </c>
      <c r="AL163" s="2168">
        <v>0.5</v>
      </c>
      <c r="AM163" s="2168">
        <v>0.5</v>
      </c>
      <c r="AN163" s="2168">
        <v>0.5</v>
      </c>
      <c r="AO163" s="2168">
        <v>0.5</v>
      </c>
      <c r="AP163" s="2168">
        <v>0.5</v>
      </c>
      <c r="AQ163" s="2168">
        <v>0.5</v>
      </c>
      <c r="AR163" s="2168">
        <v>0.5</v>
      </c>
      <c r="AS163" s="2168">
        <v>0.5</v>
      </c>
      <c r="AT163" s="2169"/>
      <c r="AU163" s="2168"/>
      <c r="AV163" s="2168"/>
      <c r="AX163" s="2199" t="s">
        <v>1828</v>
      </c>
      <c r="AY163" s="2110" t="s">
        <v>2758</v>
      </c>
      <c r="AZ163" s="2107" t="s">
        <v>2093</v>
      </c>
      <c r="BA163" s="2168">
        <v>0.5</v>
      </c>
      <c r="BB163" s="2168">
        <v>0.5</v>
      </c>
      <c r="BC163" s="2168">
        <v>0.5</v>
      </c>
      <c r="BD163" s="2168">
        <v>0.5</v>
      </c>
      <c r="BE163" s="2168">
        <v>0.5</v>
      </c>
      <c r="BF163" s="2168">
        <v>0.5</v>
      </c>
      <c r="BG163" s="2168">
        <v>0.5</v>
      </c>
      <c r="BH163" s="2168">
        <v>0.5</v>
      </c>
      <c r="BI163" s="2168">
        <v>0.5</v>
      </c>
      <c r="BJ163" s="2168">
        <v>0.5</v>
      </c>
      <c r="BK163" s="2169"/>
      <c r="BL163" s="2168"/>
      <c r="BM163" s="2168"/>
      <c r="BO163" s="2199" t="s">
        <v>1828</v>
      </c>
      <c r="BP163" s="2110" t="s">
        <v>2758</v>
      </c>
      <c r="BQ163" s="2107" t="s">
        <v>2093</v>
      </c>
      <c r="BR163" s="2168">
        <v>0.5</v>
      </c>
      <c r="BS163" s="2168">
        <v>0.5</v>
      </c>
      <c r="BT163" s="2168">
        <v>0.5</v>
      </c>
      <c r="BU163" s="2168">
        <v>0.5</v>
      </c>
      <c r="BV163" s="2168">
        <v>0.5</v>
      </c>
      <c r="BW163" s="2168">
        <v>0.5</v>
      </c>
      <c r="BX163" s="2168">
        <v>0.5</v>
      </c>
      <c r="BY163" s="2168">
        <v>0.5</v>
      </c>
      <c r="BZ163" s="2168">
        <v>0.5</v>
      </c>
      <c r="CA163" s="2168">
        <v>0.5</v>
      </c>
      <c r="CB163" s="2169"/>
      <c r="CC163" s="2168"/>
      <c r="CD163" s="2168"/>
      <c r="CE163" s="2557"/>
    </row>
    <row r="164" spans="1:84">
      <c r="B164" s="2080" t="str">
        <f t="shared" si="125"/>
        <v>2.3</v>
      </c>
      <c r="C164" s="2107" t="str">
        <f t="shared" si="121"/>
        <v>地域インフラへの負荷抑制</v>
      </c>
      <c r="D164" s="2104">
        <f t="shared" si="145"/>
        <v>0.25</v>
      </c>
      <c r="E164" s="2104">
        <f t="shared" si="145"/>
        <v>0</v>
      </c>
      <c r="G164" s="2105">
        <f t="shared" si="122"/>
        <v>0.25</v>
      </c>
      <c r="H164" s="2105">
        <f t="shared" si="123"/>
        <v>0</v>
      </c>
      <c r="I164" s="2105">
        <f>SUM(G165:G168)</f>
        <v>1</v>
      </c>
      <c r="J164" s="2105">
        <f>SUM(H165:H168)</f>
        <v>0</v>
      </c>
      <c r="K164" s="2105">
        <f>IF(スコア!M164=0,0,1)</f>
        <v>1</v>
      </c>
      <c r="L164" s="2105">
        <f>IF(スコア!O164=0,0,1)</f>
        <v>0</v>
      </c>
      <c r="M164" s="2105">
        <f t="shared" si="124"/>
        <v>0.25</v>
      </c>
      <c r="N164" s="2105">
        <f t="shared" si="127"/>
        <v>0</v>
      </c>
      <c r="P164" s="2198" t="str">
        <f t="shared" si="119"/>
        <v>2.3</v>
      </c>
      <c r="Q164" s="2110" t="str">
        <f t="shared" si="120"/>
        <v>LR3 2</v>
      </c>
      <c r="R164" s="2107" t="str">
        <f t="shared" si="129"/>
        <v>地域インフラへの負荷抑制</v>
      </c>
      <c r="S164" s="2168">
        <f t="shared" si="133"/>
        <v>0.25</v>
      </c>
      <c r="T164" s="2168">
        <f t="shared" si="134"/>
        <v>0.25</v>
      </c>
      <c r="U164" s="2168">
        <f t="shared" si="135"/>
        <v>0.25</v>
      </c>
      <c r="V164" s="2168">
        <f t="shared" si="136"/>
        <v>0.25</v>
      </c>
      <c r="W164" s="2168">
        <f t="shared" si="137"/>
        <v>0.25</v>
      </c>
      <c r="X164" s="2168">
        <f t="shared" si="138"/>
        <v>0.25</v>
      </c>
      <c r="Y164" s="2168">
        <f t="shared" si="139"/>
        <v>0.25</v>
      </c>
      <c r="Z164" s="2168">
        <f t="shared" si="140"/>
        <v>0.25</v>
      </c>
      <c r="AA164" s="2168">
        <f t="shared" si="141"/>
        <v>0.25</v>
      </c>
      <c r="AB164" s="2168">
        <f t="shared" si="142"/>
        <v>0.25</v>
      </c>
      <c r="AC164" s="2167">
        <f t="shared" si="130"/>
        <v>0</v>
      </c>
      <c r="AD164" s="2166">
        <f t="shared" si="131"/>
        <v>0</v>
      </c>
      <c r="AE164" s="2166">
        <f t="shared" si="132"/>
        <v>0</v>
      </c>
      <c r="AG164" s="2199" t="s">
        <v>1829</v>
      </c>
      <c r="AH164" s="2110" t="s">
        <v>2758</v>
      </c>
      <c r="AI164" s="2107" t="s">
        <v>750</v>
      </c>
      <c r="AJ164" s="2168">
        <v>0.25</v>
      </c>
      <c r="AK164" s="2168">
        <v>0.25</v>
      </c>
      <c r="AL164" s="2168">
        <v>0.25</v>
      </c>
      <c r="AM164" s="2168">
        <v>0.25</v>
      </c>
      <c r="AN164" s="2168">
        <v>0.25</v>
      </c>
      <c r="AO164" s="2168">
        <v>0.25</v>
      </c>
      <c r="AP164" s="2168">
        <v>0.25</v>
      </c>
      <c r="AQ164" s="2168">
        <v>0.25</v>
      </c>
      <c r="AR164" s="2168">
        <v>0.25</v>
      </c>
      <c r="AS164" s="2168">
        <v>0.25</v>
      </c>
      <c r="AT164" s="2169"/>
      <c r="AU164" s="2168"/>
      <c r="AV164" s="2168"/>
      <c r="AX164" s="2199" t="s">
        <v>1830</v>
      </c>
      <c r="AY164" s="2110" t="s">
        <v>2758</v>
      </c>
      <c r="AZ164" s="2107" t="s">
        <v>750</v>
      </c>
      <c r="BA164" s="2168">
        <v>0.25</v>
      </c>
      <c r="BB164" s="2168">
        <v>0.25</v>
      </c>
      <c r="BC164" s="2168">
        <v>0.25</v>
      </c>
      <c r="BD164" s="2168">
        <v>0.25</v>
      </c>
      <c r="BE164" s="2168">
        <v>0.25</v>
      </c>
      <c r="BF164" s="2168">
        <v>0.25</v>
      </c>
      <c r="BG164" s="2168">
        <v>0.25</v>
      </c>
      <c r="BH164" s="2168">
        <v>0.25</v>
      </c>
      <c r="BI164" s="2168">
        <v>0.25</v>
      </c>
      <c r="BJ164" s="2168">
        <v>0.25</v>
      </c>
      <c r="BK164" s="2169"/>
      <c r="BL164" s="2168"/>
      <c r="BM164" s="2168"/>
      <c r="BO164" s="2199" t="s">
        <v>1830</v>
      </c>
      <c r="BP164" s="2110" t="s">
        <v>2758</v>
      </c>
      <c r="BQ164" s="2107" t="s">
        <v>750</v>
      </c>
      <c r="BR164" s="2168">
        <v>0.25</v>
      </c>
      <c r="BS164" s="2168">
        <v>0.25</v>
      </c>
      <c r="BT164" s="2168">
        <v>0.25</v>
      </c>
      <c r="BU164" s="2168">
        <v>0.25</v>
      </c>
      <c r="BV164" s="2168">
        <v>0.25</v>
      </c>
      <c r="BW164" s="2168">
        <v>0.25</v>
      </c>
      <c r="BX164" s="2168">
        <v>0.25</v>
      </c>
      <c r="BY164" s="2168">
        <v>0.25</v>
      </c>
      <c r="BZ164" s="2168">
        <v>0.25</v>
      </c>
      <c r="CA164" s="2168">
        <v>0.25</v>
      </c>
      <c r="CB164" s="2169"/>
      <c r="CC164" s="2168"/>
      <c r="CD164" s="2168"/>
      <c r="CE164" s="2557"/>
    </row>
    <row r="165" spans="1:84">
      <c r="B165" s="2080" t="str">
        <f t="shared" si="125"/>
        <v>2.3.1</v>
      </c>
      <c r="C165" s="2200" t="str">
        <f t="shared" si="121"/>
        <v>雨水排水負荷低減</v>
      </c>
      <c r="D165" s="2104">
        <f t="shared" ref="D165:E168" si="146">IF(I$164=0,0,G165/I$164)</f>
        <v>0.25</v>
      </c>
      <c r="E165" s="2104">
        <f t="shared" si="146"/>
        <v>0</v>
      </c>
      <c r="G165" s="2105">
        <f t="shared" si="122"/>
        <v>0.25</v>
      </c>
      <c r="H165" s="2105">
        <f t="shared" si="123"/>
        <v>0</v>
      </c>
      <c r="I165" s="2105"/>
      <c r="J165" s="2105"/>
      <c r="K165" s="2105">
        <f>IF(スコア!M165=0,0,1)</f>
        <v>1</v>
      </c>
      <c r="L165" s="2105">
        <f>IF(スコア!O165=0,0,1)</f>
        <v>0</v>
      </c>
      <c r="M165" s="2105">
        <f t="shared" si="124"/>
        <v>0.25</v>
      </c>
      <c r="N165" s="2105">
        <f t="shared" si="127"/>
        <v>0</v>
      </c>
      <c r="P165" s="2199" t="str">
        <f t="shared" si="119"/>
        <v>2.3.1</v>
      </c>
      <c r="Q165" s="2110" t="str">
        <f t="shared" si="120"/>
        <v>LR3 2.3</v>
      </c>
      <c r="R165" s="2200" t="str">
        <f t="shared" si="129"/>
        <v>雨水排水負荷低減</v>
      </c>
      <c r="S165" s="2113">
        <f t="shared" si="133"/>
        <v>0.25</v>
      </c>
      <c r="T165" s="2113">
        <f t="shared" si="134"/>
        <v>0.25</v>
      </c>
      <c r="U165" s="2113">
        <f t="shared" si="135"/>
        <v>0.25</v>
      </c>
      <c r="V165" s="2113">
        <f t="shared" si="136"/>
        <v>0.25</v>
      </c>
      <c r="W165" s="2113">
        <f t="shared" si="137"/>
        <v>0.25</v>
      </c>
      <c r="X165" s="2113">
        <f t="shared" si="138"/>
        <v>0.25</v>
      </c>
      <c r="Y165" s="2113">
        <f t="shared" si="139"/>
        <v>0.25</v>
      </c>
      <c r="Z165" s="2113">
        <f t="shared" si="140"/>
        <v>0.25</v>
      </c>
      <c r="AA165" s="2113">
        <f t="shared" si="141"/>
        <v>0.25</v>
      </c>
      <c r="AB165" s="2113">
        <f t="shared" si="142"/>
        <v>0.25</v>
      </c>
      <c r="AC165" s="2167">
        <f t="shared" si="130"/>
        <v>0</v>
      </c>
      <c r="AD165" s="2166">
        <f t="shared" si="131"/>
        <v>0</v>
      </c>
      <c r="AE165" s="2166">
        <f t="shared" si="132"/>
        <v>0</v>
      </c>
      <c r="AG165" s="2199" t="s">
        <v>1831</v>
      </c>
      <c r="AH165" s="2110" t="s">
        <v>2759</v>
      </c>
      <c r="AI165" s="2200" t="s">
        <v>2094</v>
      </c>
      <c r="AJ165" s="2113">
        <v>0.25</v>
      </c>
      <c r="AK165" s="2113">
        <v>0.25</v>
      </c>
      <c r="AL165" s="2113">
        <v>0.25</v>
      </c>
      <c r="AM165" s="2113">
        <v>0.25</v>
      </c>
      <c r="AN165" s="2113">
        <v>0.25</v>
      </c>
      <c r="AO165" s="2113">
        <v>0.25</v>
      </c>
      <c r="AP165" s="2113">
        <v>0.25</v>
      </c>
      <c r="AQ165" s="2113">
        <v>0.25</v>
      </c>
      <c r="AR165" s="2113">
        <v>0.25</v>
      </c>
      <c r="AS165" s="2113">
        <v>0.25</v>
      </c>
      <c r="AT165" s="2169"/>
      <c r="AU165" s="2168"/>
      <c r="AV165" s="2168"/>
      <c r="AX165" s="2199" t="s">
        <v>1831</v>
      </c>
      <c r="AY165" s="2110" t="s">
        <v>2759</v>
      </c>
      <c r="AZ165" s="2200" t="s">
        <v>2094</v>
      </c>
      <c r="BA165" s="2113">
        <v>0.25</v>
      </c>
      <c r="BB165" s="2113">
        <v>0.25</v>
      </c>
      <c r="BC165" s="2113">
        <v>0.25</v>
      </c>
      <c r="BD165" s="2113">
        <v>0.25</v>
      </c>
      <c r="BE165" s="2113">
        <v>0.25</v>
      </c>
      <c r="BF165" s="2113">
        <v>0.25</v>
      </c>
      <c r="BG165" s="2113">
        <v>0.25</v>
      </c>
      <c r="BH165" s="2113">
        <v>0.25</v>
      </c>
      <c r="BI165" s="2113">
        <v>0.25</v>
      </c>
      <c r="BJ165" s="2113">
        <v>0.25</v>
      </c>
      <c r="BK165" s="2169"/>
      <c r="BL165" s="2168"/>
      <c r="BM165" s="2168"/>
      <c r="BO165" s="2199" t="s">
        <v>1831</v>
      </c>
      <c r="BP165" s="2110" t="s">
        <v>2759</v>
      </c>
      <c r="BQ165" s="2200" t="s">
        <v>2094</v>
      </c>
      <c r="BR165" s="2113">
        <v>0.25</v>
      </c>
      <c r="BS165" s="2113">
        <v>0.25</v>
      </c>
      <c r="BT165" s="2113">
        <v>0.25</v>
      </c>
      <c r="BU165" s="2113">
        <v>0.25</v>
      </c>
      <c r="BV165" s="2113">
        <v>0.25</v>
      </c>
      <c r="BW165" s="2113">
        <v>0.25</v>
      </c>
      <c r="BX165" s="2113">
        <v>0.25</v>
      </c>
      <c r="BY165" s="2113">
        <v>0.25</v>
      </c>
      <c r="BZ165" s="2113">
        <v>0.25</v>
      </c>
      <c r="CA165" s="2113">
        <v>0.25</v>
      </c>
      <c r="CB165" s="2169"/>
      <c r="CC165" s="2168"/>
      <c r="CD165" s="2168"/>
      <c r="CE165" s="2557"/>
    </row>
    <row r="166" spans="1:84">
      <c r="B166" s="2080" t="str">
        <f t="shared" si="125"/>
        <v>2.3.2</v>
      </c>
      <c r="C166" s="2200" t="str">
        <f t="shared" si="121"/>
        <v>汚水処理負荷抑制</v>
      </c>
      <c r="D166" s="2104">
        <f t="shared" si="146"/>
        <v>0.25</v>
      </c>
      <c r="E166" s="2104">
        <f t="shared" si="146"/>
        <v>0</v>
      </c>
      <c r="G166" s="2105">
        <f t="shared" si="122"/>
        <v>0.25</v>
      </c>
      <c r="H166" s="2105">
        <f t="shared" si="123"/>
        <v>0</v>
      </c>
      <c r="I166" s="2105"/>
      <c r="J166" s="2105"/>
      <c r="K166" s="2105">
        <f>IF(スコア!M166=0,0,1)</f>
        <v>1</v>
      </c>
      <c r="L166" s="2105">
        <f>IF(スコア!O166=0,0,1)</f>
        <v>0</v>
      </c>
      <c r="M166" s="2105">
        <f t="shared" si="124"/>
        <v>0.25</v>
      </c>
      <c r="N166" s="2105">
        <f t="shared" si="127"/>
        <v>0</v>
      </c>
      <c r="P166" s="2199" t="str">
        <f t="shared" si="119"/>
        <v>2.3.2</v>
      </c>
      <c r="Q166" s="2110" t="str">
        <f t="shared" si="120"/>
        <v>LR3 2.3</v>
      </c>
      <c r="R166" s="2200" t="str">
        <f t="shared" si="129"/>
        <v>汚水処理負荷抑制</v>
      </c>
      <c r="S166" s="2113">
        <f t="shared" si="133"/>
        <v>0.25</v>
      </c>
      <c r="T166" s="2113">
        <f t="shared" si="134"/>
        <v>0.25</v>
      </c>
      <c r="U166" s="2113">
        <f t="shared" si="135"/>
        <v>0.25</v>
      </c>
      <c r="V166" s="2113">
        <f t="shared" si="136"/>
        <v>0.25</v>
      </c>
      <c r="W166" s="2113">
        <f t="shared" si="137"/>
        <v>0.25</v>
      </c>
      <c r="X166" s="2113">
        <f t="shared" si="138"/>
        <v>0.25</v>
      </c>
      <c r="Y166" s="2113">
        <f t="shared" si="139"/>
        <v>0.25</v>
      </c>
      <c r="Z166" s="2113">
        <f t="shared" si="140"/>
        <v>0.25</v>
      </c>
      <c r="AA166" s="2113">
        <f t="shared" si="141"/>
        <v>0.25</v>
      </c>
      <c r="AB166" s="2113">
        <f t="shared" si="142"/>
        <v>0.25</v>
      </c>
      <c r="AC166" s="2167">
        <f t="shared" si="130"/>
        <v>0</v>
      </c>
      <c r="AD166" s="2166">
        <f t="shared" si="131"/>
        <v>0</v>
      </c>
      <c r="AE166" s="2166">
        <f t="shared" si="132"/>
        <v>0</v>
      </c>
      <c r="AG166" s="2199" t="s">
        <v>1832</v>
      </c>
      <c r="AH166" s="2110" t="s">
        <v>2759</v>
      </c>
      <c r="AI166" s="2200" t="s">
        <v>2095</v>
      </c>
      <c r="AJ166" s="2113">
        <v>0.25</v>
      </c>
      <c r="AK166" s="2113">
        <v>0.25</v>
      </c>
      <c r="AL166" s="2113">
        <v>0.25</v>
      </c>
      <c r="AM166" s="2113">
        <v>0.25</v>
      </c>
      <c r="AN166" s="2113">
        <v>0.25</v>
      </c>
      <c r="AO166" s="2113">
        <v>0.25</v>
      </c>
      <c r="AP166" s="2113">
        <v>0.25</v>
      </c>
      <c r="AQ166" s="2113">
        <v>0.25</v>
      </c>
      <c r="AR166" s="2113">
        <v>0.25</v>
      </c>
      <c r="AS166" s="2113">
        <v>0.25</v>
      </c>
      <c r="AT166" s="2169"/>
      <c r="AU166" s="2168"/>
      <c r="AV166" s="2168"/>
      <c r="AX166" s="2199" t="s">
        <v>1832</v>
      </c>
      <c r="AY166" s="2110" t="s">
        <v>2759</v>
      </c>
      <c r="AZ166" s="2200" t="s">
        <v>2095</v>
      </c>
      <c r="BA166" s="2113">
        <v>0.25</v>
      </c>
      <c r="BB166" s="2113">
        <v>0.25</v>
      </c>
      <c r="BC166" s="2113">
        <v>0.25</v>
      </c>
      <c r="BD166" s="2113">
        <v>0.25</v>
      </c>
      <c r="BE166" s="2113">
        <v>0.25</v>
      </c>
      <c r="BF166" s="2113">
        <v>0.25</v>
      </c>
      <c r="BG166" s="2113">
        <v>0.25</v>
      </c>
      <c r="BH166" s="2113">
        <v>0.25</v>
      </c>
      <c r="BI166" s="2113">
        <v>0.25</v>
      </c>
      <c r="BJ166" s="2113">
        <v>0.25</v>
      </c>
      <c r="BK166" s="2169"/>
      <c r="BL166" s="2168"/>
      <c r="BM166" s="2168"/>
      <c r="BO166" s="2199" t="s">
        <v>1832</v>
      </c>
      <c r="BP166" s="2110" t="s">
        <v>2759</v>
      </c>
      <c r="BQ166" s="2200" t="s">
        <v>2095</v>
      </c>
      <c r="BR166" s="2113">
        <v>0.25</v>
      </c>
      <c r="BS166" s="2113">
        <v>0.25</v>
      </c>
      <c r="BT166" s="2113">
        <v>0.25</v>
      </c>
      <c r="BU166" s="2113">
        <v>0.25</v>
      </c>
      <c r="BV166" s="2113">
        <v>0.25</v>
      </c>
      <c r="BW166" s="2113">
        <v>0.25</v>
      </c>
      <c r="BX166" s="2113">
        <v>0.25</v>
      </c>
      <c r="BY166" s="2113">
        <v>0.25</v>
      </c>
      <c r="BZ166" s="2113">
        <v>0.25</v>
      </c>
      <c r="CA166" s="2113">
        <v>0.25</v>
      </c>
      <c r="CB166" s="2169"/>
      <c r="CC166" s="2168"/>
      <c r="CD166" s="2168"/>
      <c r="CE166" s="2557"/>
    </row>
    <row r="167" spans="1:84">
      <c r="B167" s="2080" t="str">
        <f t="shared" si="125"/>
        <v>2.3.3</v>
      </c>
      <c r="C167" s="2200" t="str">
        <f t="shared" si="121"/>
        <v>交通負荷抑制</v>
      </c>
      <c r="D167" s="2104">
        <f t="shared" si="146"/>
        <v>0.25</v>
      </c>
      <c r="E167" s="2104">
        <f t="shared" si="146"/>
        <v>0</v>
      </c>
      <c r="G167" s="2105">
        <f t="shared" si="122"/>
        <v>0.25</v>
      </c>
      <c r="H167" s="2105">
        <f t="shared" si="123"/>
        <v>0</v>
      </c>
      <c r="I167" s="2105"/>
      <c r="J167" s="2105"/>
      <c r="K167" s="2105">
        <f>IF(スコア!M167=0,0,1)</f>
        <v>1</v>
      </c>
      <c r="L167" s="2105">
        <f>IF(スコア!O167=0,0,1)</f>
        <v>0</v>
      </c>
      <c r="M167" s="2105">
        <f t="shared" si="124"/>
        <v>0.25</v>
      </c>
      <c r="N167" s="2105">
        <f t="shared" si="127"/>
        <v>0</v>
      </c>
      <c r="P167" s="2199" t="str">
        <f t="shared" si="119"/>
        <v>2.3.3</v>
      </c>
      <c r="Q167" s="2110" t="str">
        <f t="shared" si="120"/>
        <v>LR3 2.3</v>
      </c>
      <c r="R167" s="2200" t="str">
        <f t="shared" si="129"/>
        <v>交通負荷抑制</v>
      </c>
      <c r="S167" s="2113">
        <f t="shared" si="133"/>
        <v>0.25</v>
      </c>
      <c r="T167" s="2113">
        <f t="shared" si="134"/>
        <v>0.25</v>
      </c>
      <c r="U167" s="2113">
        <f t="shared" si="135"/>
        <v>0.25</v>
      </c>
      <c r="V167" s="2113">
        <f t="shared" si="136"/>
        <v>0.25</v>
      </c>
      <c r="W167" s="2113">
        <f t="shared" si="137"/>
        <v>0.25</v>
      </c>
      <c r="X167" s="2113">
        <f t="shared" si="138"/>
        <v>0.25</v>
      </c>
      <c r="Y167" s="2113">
        <f t="shared" si="139"/>
        <v>0.25</v>
      </c>
      <c r="Z167" s="2113">
        <f t="shared" si="140"/>
        <v>0.25</v>
      </c>
      <c r="AA167" s="2113">
        <f t="shared" si="141"/>
        <v>0.25</v>
      </c>
      <c r="AB167" s="2113">
        <f t="shared" si="142"/>
        <v>0.25</v>
      </c>
      <c r="AC167" s="2167">
        <f t="shared" si="130"/>
        <v>0</v>
      </c>
      <c r="AD167" s="2166">
        <f t="shared" si="131"/>
        <v>0</v>
      </c>
      <c r="AE167" s="2166">
        <f t="shared" si="132"/>
        <v>0</v>
      </c>
      <c r="AG167" s="2199" t="s">
        <v>1833</v>
      </c>
      <c r="AH167" s="2110" t="s">
        <v>2759</v>
      </c>
      <c r="AI167" s="2200" t="s">
        <v>751</v>
      </c>
      <c r="AJ167" s="2113">
        <v>0.25</v>
      </c>
      <c r="AK167" s="2113">
        <v>0.25</v>
      </c>
      <c r="AL167" s="2113">
        <v>0.25</v>
      </c>
      <c r="AM167" s="2113">
        <v>0.25</v>
      </c>
      <c r="AN167" s="2113">
        <v>0.25</v>
      </c>
      <c r="AO167" s="2113">
        <v>0.25</v>
      </c>
      <c r="AP167" s="2113">
        <v>0.25</v>
      </c>
      <c r="AQ167" s="2113">
        <v>0.25</v>
      </c>
      <c r="AR167" s="2113">
        <v>0.25</v>
      </c>
      <c r="AS167" s="2113">
        <v>0.25</v>
      </c>
      <c r="AT167" s="2169"/>
      <c r="AU167" s="2168"/>
      <c r="AV167" s="2168"/>
      <c r="AX167" s="2199" t="s">
        <v>1834</v>
      </c>
      <c r="AY167" s="2110" t="s">
        <v>2759</v>
      </c>
      <c r="AZ167" s="2200" t="s">
        <v>751</v>
      </c>
      <c r="BA167" s="2113">
        <v>0.25</v>
      </c>
      <c r="BB167" s="2113">
        <v>0.25</v>
      </c>
      <c r="BC167" s="2113">
        <v>0.25</v>
      </c>
      <c r="BD167" s="2113">
        <v>0.25</v>
      </c>
      <c r="BE167" s="2113">
        <v>0.25</v>
      </c>
      <c r="BF167" s="2113">
        <v>0.25</v>
      </c>
      <c r="BG167" s="2113">
        <v>0.25</v>
      </c>
      <c r="BH167" s="2113">
        <v>0.25</v>
      </c>
      <c r="BI167" s="2113">
        <v>0.25</v>
      </c>
      <c r="BJ167" s="2113">
        <v>0.25</v>
      </c>
      <c r="BK167" s="2169"/>
      <c r="BL167" s="2168"/>
      <c r="BM167" s="2168"/>
      <c r="BO167" s="2199" t="s">
        <v>1834</v>
      </c>
      <c r="BP167" s="2110" t="s">
        <v>2759</v>
      </c>
      <c r="BQ167" s="2200" t="s">
        <v>751</v>
      </c>
      <c r="BR167" s="2113">
        <v>0.25</v>
      </c>
      <c r="BS167" s="2113">
        <v>0.25</v>
      </c>
      <c r="BT167" s="2113">
        <v>0.25</v>
      </c>
      <c r="BU167" s="2113">
        <v>0.25</v>
      </c>
      <c r="BV167" s="2113">
        <v>0.25</v>
      </c>
      <c r="BW167" s="2113">
        <v>0.25</v>
      </c>
      <c r="BX167" s="2113">
        <v>0.25</v>
      </c>
      <c r="BY167" s="2113">
        <v>0.25</v>
      </c>
      <c r="BZ167" s="2113">
        <v>0.25</v>
      </c>
      <c r="CA167" s="2113">
        <v>0.25</v>
      </c>
      <c r="CB167" s="2169"/>
      <c r="CC167" s="2168"/>
      <c r="CD167" s="2168"/>
      <c r="CE167" s="2557"/>
    </row>
    <row r="168" spans="1:84">
      <c r="B168" s="2080" t="str">
        <f t="shared" si="125"/>
        <v>2.3.4</v>
      </c>
      <c r="C168" s="941" t="str">
        <f t="shared" si="121"/>
        <v>廃棄物処理負荷抑制</v>
      </c>
      <c r="D168" s="2104">
        <f t="shared" si="146"/>
        <v>0.25</v>
      </c>
      <c r="E168" s="2104">
        <f t="shared" si="146"/>
        <v>0</v>
      </c>
      <c r="G168" s="2105">
        <f t="shared" si="122"/>
        <v>0.25</v>
      </c>
      <c r="H168" s="2105">
        <f t="shared" si="123"/>
        <v>0</v>
      </c>
      <c r="I168" s="2105"/>
      <c r="J168" s="2105"/>
      <c r="K168" s="2105">
        <f>IF(スコア!M168=0,0,1)</f>
        <v>1</v>
      </c>
      <c r="L168" s="2105">
        <f>IF(スコア!O168=0,0,1)</f>
        <v>0</v>
      </c>
      <c r="M168" s="2105">
        <f t="shared" si="124"/>
        <v>0.25</v>
      </c>
      <c r="N168" s="2105">
        <f t="shared" si="127"/>
        <v>0</v>
      </c>
      <c r="P168" s="2199" t="str">
        <f t="shared" si="119"/>
        <v>2.3.4</v>
      </c>
      <c r="Q168" s="2110" t="str">
        <f t="shared" si="120"/>
        <v>LR3 2.3</v>
      </c>
      <c r="R168" s="941" t="str">
        <f t="shared" si="129"/>
        <v>廃棄物処理負荷抑制</v>
      </c>
      <c r="S168" s="2113">
        <f t="shared" si="133"/>
        <v>0.25</v>
      </c>
      <c r="T168" s="2113">
        <f t="shared" si="134"/>
        <v>0.25</v>
      </c>
      <c r="U168" s="2113">
        <f t="shared" si="135"/>
        <v>0.25</v>
      </c>
      <c r="V168" s="2113">
        <f t="shared" si="136"/>
        <v>0.25</v>
      </c>
      <c r="W168" s="2113">
        <f t="shared" si="137"/>
        <v>0.25</v>
      </c>
      <c r="X168" s="2113">
        <f t="shared" si="138"/>
        <v>0.25</v>
      </c>
      <c r="Y168" s="2113">
        <f t="shared" si="139"/>
        <v>0.25</v>
      </c>
      <c r="Z168" s="2113">
        <f t="shared" si="140"/>
        <v>0.25</v>
      </c>
      <c r="AA168" s="2113">
        <f t="shared" si="141"/>
        <v>0.25</v>
      </c>
      <c r="AB168" s="2113">
        <f t="shared" si="142"/>
        <v>0.25</v>
      </c>
      <c r="AC168" s="2167">
        <f t="shared" si="130"/>
        <v>0</v>
      </c>
      <c r="AD168" s="2166">
        <f t="shared" si="131"/>
        <v>0</v>
      </c>
      <c r="AE168" s="2166">
        <f t="shared" si="132"/>
        <v>0</v>
      </c>
      <c r="AG168" s="2199" t="s">
        <v>1835</v>
      </c>
      <c r="AH168" s="2110" t="s">
        <v>2759</v>
      </c>
      <c r="AI168" s="941" t="s">
        <v>1090</v>
      </c>
      <c r="AJ168" s="2113">
        <v>0.25</v>
      </c>
      <c r="AK168" s="2113">
        <v>0.25</v>
      </c>
      <c r="AL168" s="2113">
        <v>0.25</v>
      </c>
      <c r="AM168" s="2113">
        <v>0.25</v>
      </c>
      <c r="AN168" s="2113">
        <v>0.25</v>
      </c>
      <c r="AO168" s="2113">
        <v>0.25</v>
      </c>
      <c r="AP168" s="2113">
        <v>0.25</v>
      </c>
      <c r="AQ168" s="2113">
        <v>0.25</v>
      </c>
      <c r="AR168" s="2113">
        <v>0.25</v>
      </c>
      <c r="AS168" s="2113">
        <v>0.25</v>
      </c>
      <c r="AT168" s="2169"/>
      <c r="AU168" s="2168"/>
      <c r="AV168" s="2168"/>
      <c r="AX168" s="2199" t="s">
        <v>1836</v>
      </c>
      <c r="AY168" s="2110" t="s">
        <v>2759</v>
      </c>
      <c r="AZ168" s="941" t="s">
        <v>1090</v>
      </c>
      <c r="BA168" s="2113">
        <v>0.25</v>
      </c>
      <c r="BB168" s="2113">
        <v>0.25</v>
      </c>
      <c r="BC168" s="2113">
        <v>0.25</v>
      </c>
      <c r="BD168" s="2113">
        <v>0.25</v>
      </c>
      <c r="BE168" s="2113">
        <v>0.25</v>
      </c>
      <c r="BF168" s="2113">
        <v>0.25</v>
      </c>
      <c r="BG168" s="2113">
        <v>0.25</v>
      </c>
      <c r="BH168" s="2113">
        <v>0.25</v>
      </c>
      <c r="BI168" s="2113">
        <v>0.25</v>
      </c>
      <c r="BJ168" s="2113">
        <v>0.25</v>
      </c>
      <c r="BK168" s="2169"/>
      <c r="BL168" s="2168"/>
      <c r="BM168" s="2168"/>
      <c r="BO168" s="2199" t="s">
        <v>1836</v>
      </c>
      <c r="BP168" s="2110" t="s">
        <v>2759</v>
      </c>
      <c r="BQ168" s="941" t="s">
        <v>1090</v>
      </c>
      <c r="BR168" s="2113">
        <v>0.25</v>
      </c>
      <c r="BS168" s="2113">
        <v>0.25</v>
      </c>
      <c r="BT168" s="2113">
        <v>0.25</v>
      </c>
      <c r="BU168" s="2113">
        <v>0.25</v>
      </c>
      <c r="BV168" s="2113">
        <v>0.25</v>
      </c>
      <c r="BW168" s="2113">
        <v>0.25</v>
      </c>
      <c r="BX168" s="2113">
        <v>0.25</v>
      </c>
      <c r="BY168" s="2113">
        <v>0.25</v>
      </c>
      <c r="BZ168" s="2113">
        <v>0.25</v>
      </c>
      <c r="CA168" s="2113">
        <v>0.25</v>
      </c>
      <c r="CB168" s="2169"/>
      <c r="CC168" s="2168"/>
      <c r="CD168" s="2168"/>
      <c r="CE168" s="2557"/>
    </row>
    <row r="169" spans="1:84" s="1485" customFormat="1">
      <c r="A169"/>
      <c r="B169" s="2080">
        <f t="shared" si="125"/>
        <v>3</v>
      </c>
      <c r="C169" s="2095" t="str">
        <f t="shared" si="121"/>
        <v>周辺環境への配慮</v>
      </c>
      <c r="D169" s="2091">
        <f>IF(I$159=0,0,G169/I$159)</f>
        <v>0.33333333333333331</v>
      </c>
      <c r="E169" s="2091">
        <f>IF(J$159=0,0,H169/J$159)</f>
        <v>0</v>
      </c>
      <c r="F169"/>
      <c r="G169" s="2092">
        <f t="shared" si="122"/>
        <v>0.33333333333333331</v>
      </c>
      <c r="H169" s="2092">
        <f t="shared" si="123"/>
        <v>0</v>
      </c>
      <c r="I169" s="2092">
        <f>G170+G174+G178</f>
        <v>1</v>
      </c>
      <c r="J169" s="2092">
        <f>H170+H174+H178</f>
        <v>0</v>
      </c>
      <c r="K169" s="2092">
        <f>IF(スコア!M169=0,0,1)</f>
        <v>1</v>
      </c>
      <c r="L169" s="2092">
        <f>IF(スコア!O169=0,0,1)</f>
        <v>0</v>
      </c>
      <c r="M169" s="2092">
        <f t="shared" si="124"/>
        <v>0.33333333333333331</v>
      </c>
      <c r="N169" s="2092">
        <f t="shared" si="127"/>
        <v>0</v>
      </c>
      <c r="O169"/>
      <c r="P169" s="2197">
        <f t="shared" si="119"/>
        <v>3</v>
      </c>
      <c r="Q169" s="2099" t="str">
        <f t="shared" si="120"/>
        <v>LR3</v>
      </c>
      <c r="R169" s="2095" t="str">
        <f t="shared" si="129"/>
        <v>周辺環境への配慮</v>
      </c>
      <c r="S169" s="2100">
        <f t="shared" si="133"/>
        <v>0.33333333333333331</v>
      </c>
      <c r="T169" s="2100">
        <f t="shared" si="134"/>
        <v>0.33333333333333331</v>
      </c>
      <c r="U169" s="2100">
        <f t="shared" si="135"/>
        <v>0.33333333333333331</v>
      </c>
      <c r="V169" s="2100">
        <f t="shared" si="136"/>
        <v>0.33333333333333331</v>
      </c>
      <c r="W169" s="2100">
        <f t="shared" si="137"/>
        <v>0.33333333333333331</v>
      </c>
      <c r="X169" s="2100">
        <f t="shared" si="138"/>
        <v>0.33333333333333331</v>
      </c>
      <c r="Y169" s="2100">
        <f t="shared" si="139"/>
        <v>0.33333333333333331</v>
      </c>
      <c r="Z169" s="2100">
        <f t="shared" si="140"/>
        <v>0.33333333333333331</v>
      </c>
      <c r="AA169" s="2100">
        <f t="shared" si="141"/>
        <v>0.33333333333333331</v>
      </c>
      <c r="AB169" s="2100">
        <f t="shared" si="142"/>
        <v>0.33333333333333331</v>
      </c>
      <c r="AC169" s="2098">
        <f t="shared" si="130"/>
        <v>0</v>
      </c>
      <c r="AD169" s="2096">
        <f t="shared" si="131"/>
        <v>0</v>
      </c>
      <c r="AE169" s="2096">
        <f t="shared" si="132"/>
        <v>0</v>
      </c>
      <c r="AF169"/>
      <c r="AG169" s="2094">
        <v>3</v>
      </c>
      <c r="AH169" s="2099" t="s">
        <v>1725</v>
      </c>
      <c r="AI169" s="2095" t="s">
        <v>1091</v>
      </c>
      <c r="AJ169" s="2100">
        <v>0.33333333333333331</v>
      </c>
      <c r="AK169" s="2100">
        <v>0.33333333333333331</v>
      </c>
      <c r="AL169" s="2100">
        <v>0.33333333333333331</v>
      </c>
      <c r="AM169" s="2100">
        <v>0.33333333333333331</v>
      </c>
      <c r="AN169" s="2100">
        <v>0.33333333333333331</v>
      </c>
      <c r="AO169" s="2100">
        <v>0.33333333333333331</v>
      </c>
      <c r="AP169" s="2100">
        <v>0.33333333333333331</v>
      </c>
      <c r="AQ169" s="2100">
        <v>0.33333333333333331</v>
      </c>
      <c r="AR169" s="2100">
        <v>0.33333333333333331</v>
      </c>
      <c r="AS169" s="2100">
        <v>0.33333333333333331</v>
      </c>
      <c r="AT169" s="2101">
        <v>0</v>
      </c>
      <c r="AU169" s="2100">
        <v>0</v>
      </c>
      <c r="AV169" s="2100">
        <v>0</v>
      </c>
      <c r="AW169"/>
      <c r="AX169" s="2094">
        <v>3</v>
      </c>
      <c r="AY169" s="2099" t="s">
        <v>1725</v>
      </c>
      <c r="AZ169" s="2095" t="s">
        <v>1091</v>
      </c>
      <c r="BA169" s="2100">
        <f t="shared" ref="BA169:BJ169" si="147">1/3</f>
        <v>0.33333333333333331</v>
      </c>
      <c r="BB169" s="2100">
        <f t="shared" si="147"/>
        <v>0.33333333333333331</v>
      </c>
      <c r="BC169" s="2100">
        <f t="shared" si="147"/>
        <v>0.33333333333333331</v>
      </c>
      <c r="BD169" s="2100">
        <f t="shared" si="147"/>
        <v>0.33333333333333331</v>
      </c>
      <c r="BE169" s="2100">
        <f t="shared" si="147"/>
        <v>0.33333333333333331</v>
      </c>
      <c r="BF169" s="2100">
        <f t="shared" si="147"/>
        <v>0.33333333333333331</v>
      </c>
      <c r="BG169" s="2100">
        <f t="shared" si="147"/>
        <v>0.33333333333333331</v>
      </c>
      <c r="BH169" s="2100">
        <f t="shared" si="147"/>
        <v>0.33333333333333331</v>
      </c>
      <c r="BI169" s="2100">
        <f t="shared" si="147"/>
        <v>0.33333333333333331</v>
      </c>
      <c r="BJ169" s="2100">
        <f t="shared" si="147"/>
        <v>0.33333333333333331</v>
      </c>
      <c r="BK169" s="2101"/>
      <c r="BL169" s="2100"/>
      <c r="BM169" s="2100"/>
      <c r="BN169"/>
      <c r="BO169" s="2094">
        <v>3</v>
      </c>
      <c r="BP169" s="2099" t="s">
        <v>1725</v>
      </c>
      <c r="BQ169" s="2095" t="s">
        <v>1091</v>
      </c>
      <c r="BR169" s="2100">
        <f t="shared" ref="BR169:CA169" si="148">1/3</f>
        <v>0.33333333333333331</v>
      </c>
      <c r="BS169" s="2100">
        <f t="shared" si="148"/>
        <v>0.33333333333333331</v>
      </c>
      <c r="BT169" s="2100">
        <f t="shared" si="148"/>
        <v>0.33333333333333331</v>
      </c>
      <c r="BU169" s="2100">
        <f t="shared" si="148"/>
        <v>0.33333333333333331</v>
      </c>
      <c r="BV169" s="2100">
        <f t="shared" si="148"/>
        <v>0.33333333333333331</v>
      </c>
      <c r="BW169" s="2100">
        <f t="shared" si="148"/>
        <v>0.33333333333333331</v>
      </c>
      <c r="BX169" s="2100">
        <f t="shared" si="148"/>
        <v>0.33333333333333331</v>
      </c>
      <c r="BY169" s="2100">
        <f t="shared" si="148"/>
        <v>0.33333333333333331</v>
      </c>
      <c r="BZ169" s="2100">
        <f t="shared" si="148"/>
        <v>0.33333333333333331</v>
      </c>
      <c r="CA169" s="2100">
        <f t="shared" si="148"/>
        <v>0.33333333333333331</v>
      </c>
      <c r="CB169" s="2101"/>
      <c r="CC169" s="2100"/>
      <c r="CD169" s="2100"/>
      <c r="CE169" s="2553"/>
      <c r="CF169"/>
    </row>
    <row r="170" spans="1:84">
      <c r="B170" s="2080" t="str">
        <f t="shared" si="125"/>
        <v>3.1</v>
      </c>
      <c r="C170" s="2107" t="str">
        <f t="shared" si="121"/>
        <v>騒音・振動・悪臭の防止</v>
      </c>
      <c r="D170" s="2104">
        <f>IF(I$169=0,0,G170/I$169)</f>
        <v>0.4</v>
      </c>
      <c r="E170" s="2104">
        <f>IF(J$169=0,0,H170/J$169)</f>
        <v>0</v>
      </c>
      <c r="G170" s="2105">
        <f t="shared" si="122"/>
        <v>0.4</v>
      </c>
      <c r="H170" s="2105">
        <f t="shared" si="123"/>
        <v>0</v>
      </c>
      <c r="I170" s="2105">
        <f>SUM(G171:G173)</f>
        <v>1</v>
      </c>
      <c r="J170" s="2105">
        <f>SUM(H171:H173)</f>
        <v>0</v>
      </c>
      <c r="K170" s="2105">
        <f>IF(スコア!M170=0,0,1)</f>
        <v>1</v>
      </c>
      <c r="L170" s="2105">
        <f>IF(スコア!O170=0,0,1)</f>
        <v>0</v>
      </c>
      <c r="M170" s="2105">
        <f t="shared" si="124"/>
        <v>0.4</v>
      </c>
      <c r="N170" s="2105">
        <f t="shared" si="127"/>
        <v>0</v>
      </c>
      <c r="P170" s="2198" t="str">
        <f t="shared" si="119"/>
        <v>3.1</v>
      </c>
      <c r="Q170" s="2110" t="str">
        <f t="shared" si="120"/>
        <v>LR3 3</v>
      </c>
      <c r="R170" s="2107" t="str">
        <f t="shared" si="129"/>
        <v>騒音・振動・悪臭の防止</v>
      </c>
      <c r="S170" s="2168">
        <f t="shared" si="133"/>
        <v>0.4</v>
      </c>
      <c r="T170" s="2168">
        <f t="shared" si="134"/>
        <v>0.4</v>
      </c>
      <c r="U170" s="2168">
        <f t="shared" si="135"/>
        <v>0.4</v>
      </c>
      <c r="V170" s="2168">
        <f t="shared" si="136"/>
        <v>0.4</v>
      </c>
      <c r="W170" s="2168">
        <f t="shared" si="137"/>
        <v>0.4</v>
      </c>
      <c r="X170" s="2168">
        <f t="shared" si="138"/>
        <v>0.4</v>
      </c>
      <c r="Y170" s="2168">
        <f t="shared" si="139"/>
        <v>0.4</v>
      </c>
      <c r="Z170" s="2168">
        <f t="shared" si="140"/>
        <v>0.4</v>
      </c>
      <c r="AA170" s="2168">
        <f t="shared" si="141"/>
        <v>0.4</v>
      </c>
      <c r="AB170" s="2168">
        <f t="shared" si="142"/>
        <v>0.4</v>
      </c>
      <c r="AC170" s="2167">
        <f t="shared" si="130"/>
        <v>0</v>
      </c>
      <c r="AD170" s="2166">
        <f t="shared" si="131"/>
        <v>0</v>
      </c>
      <c r="AE170" s="2166">
        <f t="shared" si="132"/>
        <v>0</v>
      </c>
      <c r="AG170" s="2199" t="s">
        <v>1837</v>
      </c>
      <c r="AH170" s="2110" t="s">
        <v>2760</v>
      </c>
      <c r="AI170" s="2107" t="s">
        <v>1092</v>
      </c>
      <c r="AJ170" s="2168">
        <v>0.4</v>
      </c>
      <c r="AK170" s="2168">
        <v>0.4</v>
      </c>
      <c r="AL170" s="2168">
        <v>0.4</v>
      </c>
      <c r="AM170" s="2168">
        <v>0.4</v>
      </c>
      <c r="AN170" s="2168">
        <v>0.4</v>
      </c>
      <c r="AO170" s="2168">
        <v>0.4</v>
      </c>
      <c r="AP170" s="2168">
        <v>0.4</v>
      </c>
      <c r="AQ170" s="2168">
        <v>0.4</v>
      </c>
      <c r="AR170" s="2168">
        <v>0.4</v>
      </c>
      <c r="AS170" s="2168">
        <v>0.4</v>
      </c>
      <c r="AT170" s="2169"/>
      <c r="AU170" s="2168"/>
      <c r="AV170" s="2168"/>
      <c r="AX170" s="2199" t="s">
        <v>1838</v>
      </c>
      <c r="AY170" s="2110" t="s">
        <v>2760</v>
      </c>
      <c r="AZ170" s="2107" t="s">
        <v>1092</v>
      </c>
      <c r="BA170" s="2168">
        <v>0.4</v>
      </c>
      <c r="BB170" s="2168">
        <v>0.4</v>
      </c>
      <c r="BC170" s="2168">
        <v>0.4</v>
      </c>
      <c r="BD170" s="2168">
        <v>0.4</v>
      </c>
      <c r="BE170" s="2168">
        <v>0.4</v>
      </c>
      <c r="BF170" s="2168">
        <v>0.4</v>
      </c>
      <c r="BG170" s="2168">
        <v>0.4</v>
      </c>
      <c r="BH170" s="2168">
        <v>0.4</v>
      </c>
      <c r="BI170" s="2168">
        <v>0.4</v>
      </c>
      <c r="BJ170" s="2168">
        <v>0.4</v>
      </c>
      <c r="BK170" s="2169"/>
      <c r="BL170" s="2168"/>
      <c r="BM170" s="2168"/>
      <c r="BO170" s="2199" t="s">
        <v>1838</v>
      </c>
      <c r="BP170" s="2110" t="s">
        <v>2760</v>
      </c>
      <c r="BQ170" s="2107" t="s">
        <v>1092</v>
      </c>
      <c r="BR170" s="2168">
        <v>0.4</v>
      </c>
      <c r="BS170" s="2168">
        <v>0.4</v>
      </c>
      <c r="BT170" s="2168">
        <v>0.4</v>
      </c>
      <c r="BU170" s="2168">
        <v>0.4</v>
      </c>
      <c r="BV170" s="2168">
        <v>0.4</v>
      </c>
      <c r="BW170" s="2168">
        <v>0.4</v>
      </c>
      <c r="BX170" s="2168">
        <v>0.4</v>
      </c>
      <c r="BY170" s="2168">
        <v>0.4</v>
      </c>
      <c r="BZ170" s="2168">
        <v>0.4</v>
      </c>
      <c r="CA170" s="2168">
        <v>0.4</v>
      </c>
      <c r="CB170" s="2169"/>
      <c r="CC170" s="2168"/>
      <c r="CD170" s="2168"/>
      <c r="CE170" s="2557"/>
    </row>
    <row r="171" spans="1:84">
      <c r="B171" s="2080" t="str">
        <f t="shared" si="125"/>
        <v>3.1.1</v>
      </c>
      <c r="C171" s="2107" t="str">
        <f t="shared" si="121"/>
        <v>騒音</v>
      </c>
      <c r="D171" s="2104">
        <f t="shared" ref="D171:E173" si="149">IF(I$170=0,0,G171/I$170)</f>
        <v>0.33333333333333331</v>
      </c>
      <c r="E171" s="2104">
        <f t="shared" si="149"/>
        <v>0</v>
      </c>
      <c r="G171" s="2105">
        <f t="shared" si="122"/>
        <v>0.33333333333333331</v>
      </c>
      <c r="H171" s="2105">
        <f t="shared" si="123"/>
        <v>0</v>
      </c>
      <c r="I171" s="2105"/>
      <c r="J171" s="2105"/>
      <c r="K171" s="2105">
        <f>IF(スコア!M171=0,0,1)</f>
        <v>1</v>
      </c>
      <c r="L171" s="2105">
        <f>IF(スコア!O171=0,0,1)</f>
        <v>0</v>
      </c>
      <c r="M171" s="2105">
        <f t="shared" si="124"/>
        <v>0.33333333333333331</v>
      </c>
      <c r="N171" s="2105">
        <f t="shared" si="127"/>
        <v>0</v>
      </c>
      <c r="P171" s="2199" t="str">
        <f t="shared" si="119"/>
        <v>3.1.1</v>
      </c>
      <c r="Q171" s="2106" t="str">
        <f t="shared" si="120"/>
        <v>LR3 3.1</v>
      </c>
      <c r="R171" s="2107" t="str">
        <f t="shared" si="129"/>
        <v>騒音</v>
      </c>
      <c r="S171" s="2113">
        <f t="shared" si="133"/>
        <v>0.33333333333333331</v>
      </c>
      <c r="T171" s="2113">
        <f t="shared" si="134"/>
        <v>0.33333333333333331</v>
      </c>
      <c r="U171" s="2113">
        <f t="shared" si="135"/>
        <v>0.33333333333333331</v>
      </c>
      <c r="V171" s="2113">
        <f t="shared" si="136"/>
        <v>0.33333333333333331</v>
      </c>
      <c r="W171" s="2113">
        <f t="shared" si="137"/>
        <v>0.33333333333333331</v>
      </c>
      <c r="X171" s="2113">
        <f t="shared" si="138"/>
        <v>0.33333333333333331</v>
      </c>
      <c r="Y171" s="2113">
        <f t="shared" si="139"/>
        <v>0.33333333333333331</v>
      </c>
      <c r="Z171" s="2113">
        <f t="shared" si="140"/>
        <v>0.33333333333333331</v>
      </c>
      <c r="AA171" s="2113">
        <f t="shared" si="141"/>
        <v>0.33333333333333331</v>
      </c>
      <c r="AB171" s="2113">
        <f t="shared" si="142"/>
        <v>0.33333333333333331</v>
      </c>
      <c r="AC171" s="2109">
        <f t="shared" si="130"/>
        <v>0</v>
      </c>
      <c r="AD171" s="2108">
        <f t="shared" si="131"/>
        <v>0</v>
      </c>
      <c r="AE171" s="2108">
        <f t="shared" si="132"/>
        <v>0</v>
      </c>
      <c r="AG171" s="2199" t="s">
        <v>1839</v>
      </c>
      <c r="AH171" s="2106" t="s">
        <v>2761</v>
      </c>
      <c r="AI171" s="2107" t="s">
        <v>1093</v>
      </c>
      <c r="AJ171" s="2113">
        <v>0.33333333333333331</v>
      </c>
      <c r="AK171" s="2113">
        <v>0.33333333333333331</v>
      </c>
      <c r="AL171" s="2113">
        <v>0.33333333333333331</v>
      </c>
      <c r="AM171" s="2113">
        <v>0.33333333333333331</v>
      </c>
      <c r="AN171" s="2113">
        <v>0.33333333333333331</v>
      </c>
      <c r="AO171" s="2113">
        <v>0.33333333333333331</v>
      </c>
      <c r="AP171" s="2113">
        <v>0.33333333333333331</v>
      </c>
      <c r="AQ171" s="2113">
        <v>0.33333333333333331</v>
      </c>
      <c r="AR171" s="2113">
        <v>0.33333333333333331</v>
      </c>
      <c r="AS171" s="2113">
        <v>0.33333333333333331</v>
      </c>
      <c r="AT171" s="2114"/>
      <c r="AU171" s="2113"/>
      <c r="AV171" s="2113"/>
      <c r="AX171" s="2199" t="s">
        <v>1840</v>
      </c>
      <c r="AY171" s="2106" t="s">
        <v>2761</v>
      </c>
      <c r="AZ171" s="2107" t="s">
        <v>1093</v>
      </c>
      <c r="BA171" s="2113">
        <v>0.33333333333333331</v>
      </c>
      <c r="BB171" s="2113">
        <v>0.33333333333333331</v>
      </c>
      <c r="BC171" s="2113">
        <v>0.33333333333333331</v>
      </c>
      <c r="BD171" s="2113">
        <v>0.33333333333333331</v>
      </c>
      <c r="BE171" s="2113">
        <v>0.33333333333333331</v>
      </c>
      <c r="BF171" s="2113">
        <v>0.33333333333333331</v>
      </c>
      <c r="BG171" s="2113">
        <v>0.33333333333333331</v>
      </c>
      <c r="BH171" s="2113">
        <v>0.33333333333333331</v>
      </c>
      <c r="BI171" s="2113">
        <v>0.33333333333333331</v>
      </c>
      <c r="BJ171" s="2113">
        <v>0.33333333333333331</v>
      </c>
      <c r="BK171" s="2114"/>
      <c r="BL171" s="2113"/>
      <c r="BM171" s="2113"/>
      <c r="BO171" s="2199" t="s">
        <v>1840</v>
      </c>
      <c r="BP171" s="2106" t="s">
        <v>2761</v>
      </c>
      <c r="BQ171" s="2107" t="s">
        <v>1093</v>
      </c>
      <c r="BR171" s="2113">
        <v>0.33333333333333331</v>
      </c>
      <c r="BS171" s="2113">
        <v>0.33333333333333331</v>
      </c>
      <c r="BT171" s="2113">
        <v>0.33333333333333331</v>
      </c>
      <c r="BU171" s="2113">
        <v>0.33333333333333331</v>
      </c>
      <c r="BV171" s="2113">
        <v>0.33333333333333331</v>
      </c>
      <c r="BW171" s="2113">
        <v>0.33333333333333331</v>
      </c>
      <c r="BX171" s="2113">
        <v>0.33333333333333331</v>
      </c>
      <c r="BY171" s="2113">
        <v>0.33333333333333331</v>
      </c>
      <c r="BZ171" s="2113">
        <v>0.33333333333333331</v>
      </c>
      <c r="CA171" s="2113">
        <v>0.33333333333333331</v>
      </c>
      <c r="CB171" s="2113"/>
      <c r="CC171" s="2113"/>
      <c r="CD171" s="2113"/>
      <c r="CE171" s="2554"/>
    </row>
    <row r="172" spans="1:84">
      <c r="B172" s="2080" t="str">
        <f t="shared" si="125"/>
        <v>3.1.2</v>
      </c>
      <c r="C172" s="2107" t="str">
        <f t="shared" si="121"/>
        <v>振動</v>
      </c>
      <c r="D172" s="2104">
        <f t="shared" si="149"/>
        <v>0.33333333333333331</v>
      </c>
      <c r="E172" s="2104">
        <f t="shared" si="149"/>
        <v>0</v>
      </c>
      <c r="G172" s="2105">
        <f t="shared" si="122"/>
        <v>0.33333333333333331</v>
      </c>
      <c r="H172" s="2105">
        <f t="shared" si="123"/>
        <v>0</v>
      </c>
      <c r="I172" s="2105"/>
      <c r="J172" s="2105"/>
      <c r="K172" s="2105">
        <f>IF(スコア!M172=0,0,1)</f>
        <v>1</v>
      </c>
      <c r="L172" s="2105">
        <f>IF(スコア!O172=0,0,1)</f>
        <v>0</v>
      </c>
      <c r="M172" s="2105">
        <f t="shared" si="124"/>
        <v>0.33333333333333331</v>
      </c>
      <c r="N172" s="2105">
        <f t="shared" si="127"/>
        <v>0</v>
      </c>
      <c r="P172" s="2199" t="str">
        <f t="shared" si="119"/>
        <v>3.1.2</v>
      </c>
      <c r="Q172" s="2106" t="str">
        <f t="shared" si="120"/>
        <v>LR3 3.1</v>
      </c>
      <c r="R172" s="2107" t="str">
        <f t="shared" si="129"/>
        <v>振動</v>
      </c>
      <c r="S172" s="2113">
        <f t="shared" si="133"/>
        <v>0.33333333333333331</v>
      </c>
      <c r="T172" s="2113">
        <f t="shared" si="134"/>
        <v>0.33333333333333331</v>
      </c>
      <c r="U172" s="2113">
        <f t="shared" si="135"/>
        <v>0.33333333333333331</v>
      </c>
      <c r="V172" s="2113">
        <f t="shared" si="136"/>
        <v>0.33333333333333331</v>
      </c>
      <c r="W172" s="2113">
        <f t="shared" si="137"/>
        <v>0.33333333333333331</v>
      </c>
      <c r="X172" s="2113">
        <f t="shared" si="138"/>
        <v>0.33333333333333331</v>
      </c>
      <c r="Y172" s="2113">
        <f t="shared" si="139"/>
        <v>0.33333333333333331</v>
      </c>
      <c r="Z172" s="2113">
        <f t="shared" si="140"/>
        <v>0.33333333333333331</v>
      </c>
      <c r="AA172" s="2113">
        <f t="shared" si="141"/>
        <v>0.33333333333333331</v>
      </c>
      <c r="AB172" s="2113">
        <f t="shared" si="142"/>
        <v>0.33333333333333331</v>
      </c>
      <c r="AC172" s="2109">
        <f t="shared" si="130"/>
        <v>0</v>
      </c>
      <c r="AD172" s="2108">
        <f t="shared" si="131"/>
        <v>0</v>
      </c>
      <c r="AE172" s="2108">
        <f t="shared" si="132"/>
        <v>0</v>
      </c>
      <c r="AG172" s="2199" t="s">
        <v>1841</v>
      </c>
      <c r="AH172" s="2106" t="s">
        <v>2761</v>
      </c>
      <c r="AI172" s="2107" t="s">
        <v>2762</v>
      </c>
      <c r="AJ172" s="2113">
        <v>0.33333333333333331</v>
      </c>
      <c r="AK172" s="2113">
        <v>0.33333333333333331</v>
      </c>
      <c r="AL172" s="2113">
        <v>0.33333333333333331</v>
      </c>
      <c r="AM172" s="2113">
        <v>0.33333333333333331</v>
      </c>
      <c r="AN172" s="2113">
        <v>0.33333333333333331</v>
      </c>
      <c r="AO172" s="2113">
        <v>0.33333333333333331</v>
      </c>
      <c r="AP172" s="2113">
        <v>0.33333333333333331</v>
      </c>
      <c r="AQ172" s="2113">
        <v>0.33333333333333331</v>
      </c>
      <c r="AR172" s="2113">
        <v>0.33333333333333331</v>
      </c>
      <c r="AS172" s="2113">
        <v>0.33333333333333331</v>
      </c>
      <c r="AT172" s="2114"/>
      <c r="AU172" s="2113"/>
      <c r="AV172" s="2113"/>
      <c r="AX172" s="2199" t="s">
        <v>1841</v>
      </c>
      <c r="AY172" s="2106" t="s">
        <v>2761</v>
      </c>
      <c r="AZ172" s="2107" t="s">
        <v>2762</v>
      </c>
      <c r="BA172" s="2113">
        <v>0.33333333333333331</v>
      </c>
      <c r="BB172" s="2113">
        <v>0.33333333333333331</v>
      </c>
      <c r="BC172" s="2113">
        <v>0.33333333333333331</v>
      </c>
      <c r="BD172" s="2113">
        <v>0.33333333333333331</v>
      </c>
      <c r="BE172" s="2113">
        <v>0.33333333333333331</v>
      </c>
      <c r="BF172" s="2113">
        <v>0.33333333333333331</v>
      </c>
      <c r="BG172" s="2113">
        <v>0.33333333333333331</v>
      </c>
      <c r="BH172" s="2113">
        <v>0.33333333333333331</v>
      </c>
      <c r="BI172" s="2113">
        <v>0.33333333333333331</v>
      </c>
      <c r="BJ172" s="2113">
        <v>0.33333333333333331</v>
      </c>
      <c r="BK172" s="2114"/>
      <c r="BL172" s="2113"/>
      <c r="BM172" s="2113"/>
      <c r="BO172" s="2199" t="s">
        <v>1841</v>
      </c>
      <c r="BP172" s="2106" t="s">
        <v>2761</v>
      </c>
      <c r="BQ172" s="2107" t="s">
        <v>2762</v>
      </c>
      <c r="BR172" s="2113">
        <v>0.33333333333333331</v>
      </c>
      <c r="BS172" s="2113">
        <v>0.33333333333333331</v>
      </c>
      <c r="BT172" s="2113">
        <v>0.33333333333333331</v>
      </c>
      <c r="BU172" s="2113">
        <v>0.33333333333333331</v>
      </c>
      <c r="BV172" s="2113">
        <v>0.33333333333333331</v>
      </c>
      <c r="BW172" s="2113">
        <v>0.33333333333333331</v>
      </c>
      <c r="BX172" s="2113">
        <v>0.33333333333333331</v>
      </c>
      <c r="BY172" s="2113">
        <v>0.33333333333333331</v>
      </c>
      <c r="BZ172" s="2113">
        <v>0.33333333333333331</v>
      </c>
      <c r="CA172" s="2113">
        <v>0.33333333333333331</v>
      </c>
      <c r="CB172" s="2113"/>
      <c r="CC172" s="2113"/>
      <c r="CD172" s="2113"/>
      <c r="CE172" s="2554"/>
    </row>
    <row r="173" spans="1:84">
      <c r="B173" s="2080" t="str">
        <f t="shared" si="125"/>
        <v>3.1.3</v>
      </c>
      <c r="C173" s="2107" t="str">
        <f t="shared" ref="C173:C180" si="150">R173</f>
        <v>悪臭</v>
      </c>
      <c r="D173" s="2104">
        <f t="shared" si="149"/>
        <v>0.33333333333333331</v>
      </c>
      <c r="E173" s="2104">
        <f t="shared" si="149"/>
        <v>0</v>
      </c>
      <c r="G173" s="2105">
        <f t="shared" ref="G173:G180" si="151">K173*M173</f>
        <v>0.33333333333333331</v>
      </c>
      <c r="H173" s="2105">
        <f t="shared" ref="H173:H180" si="152">L173*N173</f>
        <v>0</v>
      </c>
      <c r="I173" s="2105"/>
      <c r="J173" s="2105"/>
      <c r="K173" s="2105">
        <f>IF(スコア!M173=0,0,1)</f>
        <v>1</v>
      </c>
      <c r="L173" s="2105">
        <f>IF(スコア!O173=0,0,1)</f>
        <v>0</v>
      </c>
      <c r="M173" s="2105">
        <f t="shared" ref="M173:M180" si="153">SUMPRODUCT($S$7:$AB$7,S173:AB173)</f>
        <v>0.33333333333333331</v>
      </c>
      <c r="N173" s="2105">
        <f t="shared" si="127"/>
        <v>0</v>
      </c>
      <c r="P173" s="2199" t="str">
        <f t="shared" si="119"/>
        <v>3.1.3</v>
      </c>
      <c r="Q173" s="2106" t="str">
        <f t="shared" si="120"/>
        <v>LR3 3.1</v>
      </c>
      <c r="R173" s="2107" t="str">
        <f t="shared" si="129"/>
        <v>悪臭</v>
      </c>
      <c r="S173" s="2113">
        <f t="shared" si="133"/>
        <v>0.33333333333333331</v>
      </c>
      <c r="T173" s="2113">
        <f t="shared" si="134"/>
        <v>0.33333333333333331</v>
      </c>
      <c r="U173" s="2113">
        <f t="shared" si="135"/>
        <v>0.33333333333333331</v>
      </c>
      <c r="V173" s="2113">
        <f t="shared" si="136"/>
        <v>0.33333333333333331</v>
      </c>
      <c r="W173" s="2113">
        <f t="shared" si="137"/>
        <v>0.33333333333333331</v>
      </c>
      <c r="X173" s="2113">
        <f t="shared" si="138"/>
        <v>0.33333333333333331</v>
      </c>
      <c r="Y173" s="2113">
        <f t="shared" si="139"/>
        <v>0.33333333333333331</v>
      </c>
      <c r="Z173" s="2113">
        <f t="shared" si="140"/>
        <v>0.33333333333333331</v>
      </c>
      <c r="AA173" s="2113">
        <f t="shared" si="141"/>
        <v>0.33333333333333331</v>
      </c>
      <c r="AB173" s="2113">
        <f t="shared" si="142"/>
        <v>0.33333333333333331</v>
      </c>
      <c r="AC173" s="2109">
        <f t="shared" si="130"/>
        <v>0</v>
      </c>
      <c r="AD173" s="2108">
        <f t="shared" si="131"/>
        <v>0</v>
      </c>
      <c r="AE173" s="2108">
        <f t="shared" si="132"/>
        <v>0</v>
      </c>
      <c r="AG173" s="2199" t="s">
        <v>1842</v>
      </c>
      <c r="AH173" s="2106" t="s">
        <v>2761</v>
      </c>
      <c r="AI173" s="2107" t="s">
        <v>2406</v>
      </c>
      <c r="AJ173" s="2113">
        <v>0.33333333333333331</v>
      </c>
      <c r="AK173" s="2113">
        <v>0.33333333333333331</v>
      </c>
      <c r="AL173" s="2113">
        <v>0.33333333333333331</v>
      </c>
      <c r="AM173" s="2113">
        <v>0.33333333333333331</v>
      </c>
      <c r="AN173" s="2113">
        <v>0.33333333333333331</v>
      </c>
      <c r="AO173" s="2113">
        <v>0.33333333333333331</v>
      </c>
      <c r="AP173" s="2113">
        <v>0.33333333333333331</v>
      </c>
      <c r="AQ173" s="2113">
        <v>0.33333333333333331</v>
      </c>
      <c r="AR173" s="2113">
        <v>0.33333333333333331</v>
      </c>
      <c r="AS173" s="2113">
        <v>0.33333333333333331</v>
      </c>
      <c r="AT173" s="2114"/>
      <c r="AU173" s="2113"/>
      <c r="AV173" s="2113"/>
      <c r="AX173" s="2199" t="s">
        <v>1842</v>
      </c>
      <c r="AY173" s="2106" t="s">
        <v>2761</v>
      </c>
      <c r="AZ173" s="2107" t="s">
        <v>2406</v>
      </c>
      <c r="BA173" s="2113">
        <v>0.33333333333333331</v>
      </c>
      <c r="BB173" s="2113">
        <v>0.33333333333333331</v>
      </c>
      <c r="BC173" s="2113">
        <v>0.33333333333333331</v>
      </c>
      <c r="BD173" s="2113">
        <v>0.33333333333333331</v>
      </c>
      <c r="BE173" s="2113">
        <v>0.33333333333333331</v>
      </c>
      <c r="BF173" s="2113">
        <v>0.33333333333333331</v>
      </c>
      <c r="BG173" s="2113">
        <v>0.33333333333333331</v>
      </c>
      <c r="BH173" s="2113">
        <v>0.33333333333333331</v>
      </c>
      <c r="BI173" s="2113">
        <v>0.33333333333333331</v>
      </c>
      <c r="BJ173" s="2113">
        <v>0.33333333333333331</v>
      </c>
      <c r="BK173" s="2114"/>
      <c r="BL173" s="2113"/>
      <c r="BM173" s="2113"/>
      <c r="BO173" s="2199" t="s">
        <v>1842</v>
      </c>
      <c r="BP173" s="2106" t="s">
        <v>2761</v>
      </c>
      <c r="BQ173" s="2107" t="s">
        <v>2406</v>
      </c>
      <c r="BR173" s="2113">
        <v>0.33333333333333331</v>
      </c>
      <c r="BS173" s="2113">
        <v>0.33333333333333331</v>
      </c>
      <c r="BT173" s="2113">
        <v>0.33333333333333331</v>
      </c>
      <c r="BU173" s="2113">
        <v>0.33333333333333331</v>
      </c>
      <c r="BV173" s="2113">
        <v>0.33333333333333331</v>
      </c>
      <c r="BW173" s="2113">
        <v>0.33333333333333331</v>
      </c>
      <c r="BX173" s="2113">
        <v>0.33333333333333331</v>
      </c>
      <c r="BY173" s="2113">
        <v>0.33333333333333331</v>
      </c>
      <c r="BZ173" s="2113">
        <v>0.33333333333333331</v>
      </c>
      <c r="CA173" s="2113">
        <v>0.33333333333333331</v>
      </c>
      <c r="CB173" s="2113"/>
      <c r="CC173" s="2113"/>
      <c r="CD173" s="2113"/>
      <c r="CE173" s="2554"/>
    </row>
    <row r="174" spans="1:84">
      <c r="B174" s="2080" t="str">
        <f t="shared" si="125"/>
        <v>3.2</v>
      </c>
      <c r="C174" s="2107" t="str">
        <f>R174</f>
        <v>風害・砂塵、日照阻害の抑制</v>
      </c>
      <c r="D174" s="2104">
        <f>IF(I$169=0,0,G174/I$169)</f>
        <v>0.4</v>
      </c>
      <c r="E174" s="2104">
        <f>IF(J$169=0,0,H174/J$169)</f>
        <v>0</v>
      </c>
      <c r="G174" s="2105">
        <f t="shared" si="151"/>
        <v>0.4</v>
      </c>
      <c r="H174" s="2105">
        <f t="shared" si="152"/>
        <v>0</v>
      </c>
      <c r="I174" s="2105">
        <f>SUM(G175:G177)</f>
        <v>1</v>
      </c>
      <c r="J174" s="2105">
        <f>SUM(H175:H177)</f>
        <v>0</v>
      </c>
      <c r="K174" s="2105">
        <f>IF(スコア!M174=0,0,1)</f>
        <v>1</v>
      </c>
      <c r="L174" s="2105">
        <f>IF(スコア!O174=0,0,1)</f>
        <v>0</v>
      </c>
      <c r="M174" s="2105">
        <f t="shared" si="153"/>
        <v>0.4</v>
      </c>
      <c r="N174" s="2105">
        <f t="shared" si="127"/>
        <v>0</v>
      </c>
      <c r="P174" s="2198" t="str">
        <f t="shared" si="119"/>
        <v>3.2</v>
      </c>
      <c r="Q174" s="2110" t="str">
        <f t="shared" si="120"/>
        <v>LR3 3</v>
      </c>
      <c r="R174" s="2107" t="str">
        <f t="shared" si="129"/>
        <v>風害・砂塵、日照阻害の抑制</v>
      </c>
      <c r="S174" s="2168">
        <f t="shared" si="133"/>
        <v>0.4</v>
      </c>
      <c r="T174" s="2168">
        <f t="shared" si="134"/>
        <v>0.4</v>
      </c>
      <c r="U174" s="2168">
        <f t="shared" si="135"/>
        <v>0.4</v>
      </c>
      <c r="V174" s="2168">
        <f t="shared" si="136"/>
        <v>0.4</v>
      </c>
      <c r="W174" s="2168">
        <f t="shared" si="137"/>
        <v>0.4</v>
      </c>
      <c r="X174" s="2168">
        <f t="shared" si="138"/>
        <v>0.4</v>
      </c>
      <c r="Y174" s="2168">
        <f t="shared" si="139"/>
        <v>0.4</v>
      </c>
      <c r="Z174" s="2168">
        <f t="shared" si="140"/>
        <v>0.4</v>
      </c>
      <c r="AA174" s="2168">
        <f t="shared" si="141"/>
        <v>0.4</v>
      </c>
      <c r="AB174" s="2168">
        <f t="shared" si="142"/>
        <v>0.4</v>
      </c>
      <c r="AC174" s="2167">
        <f t="shared" si="130"/>
        <v>0</v>
      </c>
      <c r="AD174" s="2166">
        <f t="shared" si="131"/>
        <v>0</v>
      </c>
      <c r="AE174" s="2166">
        <f t="shared" si="132"/>
        <v>0</v>
      </c>
      <c r="AG174" s="2199" t="s">
        <v>1843</v>
      </c>
      <c r="AH174" s="2110" t="s">
        <v>2760</v>
      </c>
      <c r="AI174" s="2107" t="s">
        <v>1844</v>
      </c>
      <c r="AJ174" s="2168">
        <v>0.4</v>
      </c>
      <c r="AK174" s="2168">
        <v>0.4</v>
      </c>
      <c r="AL174" s="2168">
        <v>0.4</v>
      </c>
      <c r="AM174" s="2168">
        <v>0.4</v>
      </c>
      <c r="AN174" s="2168">
        <v>0.4</v>
      </c>
      <c r="AO174" s="2168">
        <v>0.4</v>
      </c>
      <c r="AP174" s="2168">
        <v>0.4</v>
      </c>
      <c r="AQ174" s="2168">
        <v>0.4</v>
      </c>
      <c r="AR174" s="2168">
        <v>0.4</v>
      </c>
      <c r="AS174" s="2168">
        <v>0.4</v>
      </c>
      <c r="AT174" s="2169"/>
      <c r="AU174" s="2168"/>
      <c r="AV174" s="2168"/>
      <c r="AX174" s="2199" t="s">
        <v>1843</v>
      </c>
      <c r="AY174" s="2110" t="s">
        <v>2760</v>
      </c>
      <c r="AZ174" s="2107" t="s">
        <v>824</v>
      </c>
      <c r="BA174" s="2168">
        <v>0.4</v>
      </c>
      <c r="BB174" s="2168">
        <v>0.4</v>
      </c>
      <c r="BC174" s="2168">
        <v>0.4</v>
      </c>
      <c r="BD174" s="2168">
        <v>0.4</v>
      </c>
      <c r="BE174" s="2168">
        <v>0.4</v>
      </c>
      <c r="BF174" s="2168">
        <v>0.4</v>
      </c>
      <c r="BG174" s="2168">
        <v>0.4</v>
      </c>
      <c r="BH174" s="2168">
        <v>0.4</v>
      </c>
      <c r="BI174" s="2168">
        <v>0.4</v>
      </c>
      <c r="BJ174" s="2168">
        <v>0.4</v>
      </c>
      <c r="BK174" s="2169"/>
      <c r="BL174" s="2168"/>
      <c r="BM174" s="2168"/>
      <c r="BO174" s="2199" t="s">
        <v>1843</v>
      </c>
      <c r="BP174" s="2110" t="s">
        <v>2760</v>
      </c>
      <c r="BQ174" s="2107" t="s">
        <v>823</v>
      </c>
      <c r="BR174" s="2168">
        <v>0.4</v>
      </c>
      <c r="BS174" s="2168">
        <v>0.4</v>
      </c>
      <c r="BT174" s="2168">
        <v>0.4</v>
      </c>
      <c r="BU174" s="2168">
        <v>0.4</v>
      </c>
      <c r="BV174" s="2168">
        <v>0.4</v>
      </c>
      <c r="BW174" s="2168">
        <v>0.4</v>
      </c>
      <c r="BX174" s="2168">
        <v>0.4</v>
      </c>
      <c r="BY174" s="2168">
        <v>0.4</v>
      </c>
      <c r="BZ174" s="2168">
        <v>0.4</v>
      </c>
      <c r="CA174" s="2168">
        <v>0.4</v>
      </c>
      <c r="CB174" s="2169"/>
      <c r="CC174" s="2168"/>
      <c r="CD174" s="2168"/>
      <c r="CE174" s="2557"/>
    </row>
    <row r="175" spans="1:84">
      <c r="B175" s="2080" t="str">
        <f t="shared" ref="B175:B180" si="154">P175</f>
        <v>3.2.1</v>
      </c>
      <c r="C175" s="2200" t="str">
        <f t="shared" si="150"/>
        <v>風害の抑制</v>
      </c>
      <c r="D175" s="2104">
        <f t="shared" ref="D175:E177" si="155">IF(I$174=0,0,G175/I$174)</f>
        <v>0.7</v>
      </c>
      <c r="E175" s="2104">
        <f t="shared" si="155"/>
        <v>0</v>
      </c>
      <c r="G175" s="2105">
        <f t="shared" si="151"/>
        <v>0.7</v>
      </c>
      <c r="H175" s="2105">
        <f t="shared" si="152"/>
        <v>0</v>
      </c>
      <c r="I175" s="2105"/>
      <c r="J175" s="2105"/>
      <c r="K175" s="2105">
        <f>IF(スコア!M175=0,0,1)</f>
        <v>1</v>
      </c>
      <c r="L175" s="2105">
        <f>IF(スコア!O175=0,0,1)</f>
        <v>0</v>
      </c>
      <c r="M175" s="2105">
        <f t="shared" si="153"/>
        <v>0.7</v>
      </c>
      <c r="N175" s="2105">
        <f t="shared" si="127"/>
        <v>0</v>
      </c>
      <c r="P175" s="2199" t="str">
        <f t="shared" si="119"/>
        <v>3.2.1</v>
      </c>
      <c r="Q175" s="2110" t="str">
        <f t="shared" si="120"/>
        <v>LR3 3.2</v>
      </c>
      <c r="R175" s="2200" t="str">
        <f t="shared" si="129"/>
        <v>風害の抑制</v>
      </c>
      <c r="S175" s="2113">
        <f t="shared" si="133"/>
        <v>0.7</v>
      </c>
      <c r="T175" s="2113">
        <f t="shared" si="134"/>
        <v>0.7</v>
      </c>
      <c r="U175" s="2113">
        <f t="shared" si="135"/>
        <v>0.7</v>
      </c>
      <c r="V175" s="2113">
        <f t="shared" si="136"/>
        <v>0.7</v>
      </c>
      <c r="W175" s="2113">
        <f t="shared" si="137"/>
        <v>0.7</v>
      </c>
      <c r="X175" s="2113">
        <f t="shared" si="138"/>
        <v>0.7</v>
      </c>
      <c r="Y175" s="2113">
        <f t="shared" si="139"/>
        <v>0.7</v>
      </c>
      <c r="Z175" s="2113">
        <f t="shared" si="140"/>
        <v>0.7</v>
      </c>
      <c r="AA175" s="2113">
        <f t="shared" si="141"/>
        <v>0.7</v>
      </c>
      <c r="AB175" s="2113">
        <f t="shared" si="142"/>
        <v>0.6</v>
      </c>
      <c r="AC175" s="2167">
        <f t="shared" si="130"/>
        <v>0</v>
      </c>
      <c r="AD175" s="2166">
        <f t="shared" si="131"/>
        <v>0</v>
      </c>
      <c r="AE175" s="2166">
        <f t="shared" si="132"/>
        <v>0</v>
      </c>
      <c r="AG175" s="2199" t="s">
        <v>1845</v>
      </c>
      <c r="AH175" s="2110" t="s">
        <v>2407</v>
      </c>
      <c r="AI175" s="2200" t="s">
        <v>1846</v>
      </c>
      <c r="AJ175" s="2113">
        <v>0.7</v>
      </c>
      <c r="AK175" s="2113">
        <v>0.7</v>
      </c>
      <c r="AL175" s="2113">
        <v>0.7</v>
      </c>
      <c r="AM175" s="2113">
        <v>0.7</v>
      </c>
      <c r="AN175" s="2113">
        <v>0.7</v>
      </c>
      <c r="AO175" s="2113">
        <v>0.7</v>
      </c>
      <c r="AP175" s="2113">
        <v>0.7</v>
      </c>
      <c r="AQ175" s="2113">
        <v>0.7</v>
      </c>
      <c r="AR175" s="2113">
        <v>0.7</v>
      </c>
      <c r="AS175" s="2130">
        <v>0.6</v>
      </c>
      <c r="AT175" s="2169"/>
      <c r="AU175" s="2168"/>
      <c r="AV175" s="2168"/>
      <c r="AX175" s="2199" t="s">
        <v>1845</v>
      </c>
      <c r="AY175" s="2110" t="s">
        <v>2407</v>
      </c>
      <c r="AZ175" s="2200" t="s">
        <v>1846</v>
      </c>
      <c r="BA175" s="2113">
        <v>0.7</v>
      </c>
      <c r="BB175" s="2113">
        <v>0.7</v>
      </c>
      <c r="BC175" s="2113">
        <v>0.7</v>
      </c>
      <c r="BD175" s="2113">
        <v>0.7</v>
      </c>
      <c r="BE175" s="2113">
        <v>0.7</v>
      </c>
      <c r="BF175" s="2113">
        <v>0.7</v>
      </c>
      <c r="BG175" s="2113">
        <v>0.7</v>
      </c>
      <c r="BH175" s="2113">
        <v>0.7</v>
      </c>
      <c r="BI175" s="2113">
        <v>0.7</v>
      </c>
      <c r="BJ175" s="2168">
        <v>0.6</v>
      </c>
      <c r="BK175" s="2169"/>
      <c r="BL175" s="2168"/>
      <c r="BM175" s="2168"/>
      <c r="BO175" s="2199" t="s">
        <v>1845</v>
      </c>
      <c r="BP175" s="2110" t="s">
        <v>2407</v>
      </c>
      <c r="BQ175" s="2200" t="s">
        <v>1846</v>
      </c>
      <c r="BR175" s="2113">
        <v>0.7</v>
      </c>
      <c r="BS175" s="2113">
        <v>0.7</v>
      </c>
      <c r="BT175" s="2113">
        <v>0.7</v>
      </c>
      <c r="BU175" s="2113">
        <v>0.7</v>
      </c>
      <c r="BV175" s="2113">
        <v>0.7</v>
      </c>
      <c r="BW175" s="2113">
        <v>0.7</v>
      </c>
      <c r="BX175" s="2113">
        <v>0.7</v>
      </c>
      <c r="BY175" s="2113">
        <v>0.7</v>
      </c>
      <c r="BZ175" s="2113">
        <v>0.7</v>
      </c>
      <c r="CA175" s="2168">
        <v>0.6</v>
      </c>
      <c r="CB175" s="2169"/>
      <c r="CC175" s="2168"/>
      <c r="CD175" s="2168"/>
      <c r="CE175" s="2557"/>
    </row>
    <row r="176" spans="1:84">
      <c r="B176" s="2080" t="str">
        <f t="shared" si="154"/>
        <v>3.2.2</v>
      </c>
      <c r="C176" s="2200" t="str">
        <f t="shared" si="150"/>
        <v>砂塵の抑制</v>
      </c>
      <c r="D176" s="2104">
        <f t="shared" si="155"/>
        <v>0</v>
      </c>
      <c r="E176" s="2104">
        <f t="shared" si="155"/>
        <v>0</v>
      </c>
      <c r="G176" s="2105">
        <f t="shared" si="151"/>
        <v>0</v>
      </c>
      <c r="H176" s="2105">
        <f t="shared" si="152"/>
        <v>0</v>
      </c>
      <c r="I176" s="2105"/>
      <c r="J176" s="2105"/>
      <c r="K176" s="2105">
        <f>IF(スコア!M176=0,0,1)</f>
        <v>1</v>
      </c>
      <c r="L176" s="2105">
        <f>IF(スコア!O176=0,0,1)</f>
        <v>0</v>
      </c>
      <c r="M176" s="2105">
        <f t="shared" si="153"/>
        <v>0</v>
      </c>
      <c r="N176" s="2105">
        <f t="shared" si="127"/>
        <v>0</v>
      </c>
      <c r="P176" s="2199" t="str">
        <f t="shared" si="119"/>
        <v>3.2.2</v>
      </c>
      <c r="Q176" s="2110" t="str">
        <f t="shared" si="120"/>
        <v>LR3 3.2</v>
      </c>
      <c r="R176" s="2200" t="str">
        <f t="shared" si="129"/>
        <v>砂塵の抑制</v>
      </c>
      <c r="S176" s="2113">
        <f t="shared" si="133"/>
        <v>0</v>
      </c>
      <c r="T176" s="2113">
        <f t="shared" si="134"/>
        <v>0</v>
      </c>
      <c r="U176" s="2113">
        <f t="shared" si="135"/>
        <v>0</v>
      </c>
      <c r="V176" s="2113">
        <f t="shared" si="136"/>
        <v>0</v>
      </c>
      <c r="W176" s="2113">
        <f t="shared" si="137"/>
        <v>0</v>
      </c>
      <c r="X176" s="2113">
        <f t="shared" si="138"/>
        <v>0</v>
      </c>
      <c r="Y176" s="2113">
        <f t="shared" si="139"/>
        <v>0</v>
      </c>
      <c r="Z176" s="2113">
        <f t="shared" si="140"/>
        <v>0</v>
      </c>
      <c r="AA176" s="2113">
        <f t="shared" si="141"/>
        <v>0</v>
      </c>
      <c r="AB176" s="2113">
        <f t="shared" si="142"/>
        <v>0.2</v>
      </c>
      <c r="AC176" s="2167">
        <f t="shared" si="130"/>
        <v>0</v>
      </c>
      <c r="AD176" s="2166">
        <f t="shared" si="131"/>
        <v>0</v>
      </c>
      <c r="AE176" s="2166">
        <f t="shared" si="132"/>
        <v>0</v>
      </c>
      <c r="AG176" s="2199" t="s">
        <v>2791</v>
      </c>
      <c r="AH176" s="2110" t="s">
        <v>2408</v>
      </c>
      <c r="AI176" s="2200" t="s">
        <v>1094</v>
      </c>
      <c r="AJ176" s="2113"/>
      <c r="AK176" s="2113"/>
      <c r="AL176" s="2113"/>
      <c r="AM176" s="2113"/>
      <c r="AN176" s="2113"/>
      <c r="AO176" s="2113"/>
      <c r="AP176" s="2113"/>
      <c r="AQ176" s="2113"/>
      <c r="AR176" s="2113"/>
      <c r="AS176" s="2130">
        <v>0.2</v>
      </c>
      <c r="AT176" s="2169"/>
      <c r="AU176" s="2168"/>
      <c r="AV176" s="2168"/>
      <c r="AX176" s="2199" t="s">
        <v>1847</v>
      </c>
      <c r="AY176" s="2110" t="s">
        <v>1848</v>
      </c>
      <c r="AZ176" s="2200" t="s">
        <v>1094</v>
      </c>
      <c r="BA176" s="2113"/>
      <c r="BB176" s="2113"/>
      <c r="BC176" s="2113"/>
      <c r="BD176" s="2113"/>
      <c r="BE176" s="2113"/>
      <c r="BF176" s="2113"/>
      <c r="BG176" s="2113"/>
      <c r="BH176" s="2113"/>
      <c r="BI176" s="2113"/>
      <c r="BJ176" s="2168">
        <v>0.2</v>
      </c>
      <c r="BK176" s="2169"/>
      <c r="BL176" s="2168"/>
      <c r="BM176" s="2168"/>
      <c r="BO176" s="2199" t="s">
        <v>1847</v>
      </c>
      <c r="BP176" s="2110" t="s">
        <v>1848</v>
      </c>
      <c r="BQ176" s="2200" t="s">
        <v>1094</v>
      </c>
      <c r="BR176" s="2113"/>
      <c r="BS176" s="2113"/>
      <c r="BT176" s="2113"/>
      <c r="BU176" s="2113"/>
      <c r="BV176" s="2113"/>
      <c r="BW176" s="2113"/>
      <c r="BX176" s="2113"/>
      <c r="BY176" s="2113"/>
      <c r="BZ176" s="2113"/>
      <c r="CA176" s="2168">
        <v>0.2</v>
      </c>
      <c r="CB176" s="2169"/>
      <c r="CC176" s="2168"/>
      <c r="CD176" s="2168"/>
      <c r="CE176" s="2557"/>
    </row>
    <row r="177" spans="2:83">
      <c r="B177" s="2080" t="str">
        <f t="shared" si="154"/>
        <v>3.2.3</v>
      </c>
      <c r="C177" s="2200" t="str">
        <f t="shared" si="150"/>
        <v>日照阻害の抑制</v>
      </c>
      <c r="D177" s="2104">
        <f t="shared" si="155"/>
        <v>0.3</v>
      </c>
      <c r="E177" s="2104">
        <f t="shared" si="155"/>
        <v>0</v>
      </c>
      <c r="G177" s="2105">
        <f t="shared" si="151"/>
        <v>0.3</v>
      </c>
      <c r="H177" s="2105">
        <f t="shared" si="152"/>
        <v>0</v>
      </c>
      <c r="I177" s="2105"/>
      <c r="J177" s="2105"/>
      <c r="K177" s="2105">
        <f>IF(スコア!M177=0,0,1)</f>
        <v>1</v>
      </c>
      <c r="L177" s="2105">
        <f>IF(スコア!O177=0,0,1)</f>
        <v>0</v>
      </c>
      <c r="M177" s="2105">
        <f t="shared" si="153"/>
        <v>0.3</v>
      </c>
      <c r="N177" s="2105">
        <f t="shared" si="127"/>
        <v>0</v>
      </c>
      <c r="P177" s="2199" t="str">
        <f t="shared" si="119"/>
        <v>3.2.3</v>
      </c>
      <c r="Q177" s="2110" t="str">
        <f t="shared" si="120"/>
        <v>LR3 3.2</v>
      </c>
      <c r="R177" s="2200" t="str">
        <f t="shared" si="129"/>
        <v>日照阻害の抑制</v>
      </c>
      <c r="S177" s="2113">
        <f t="shared" si="133"/>
        <v>0.3</v>
      </c>
      <c r="T177" s="2113">
        <f t="shared" si="134"/>
        <v>0.3</v>
      </c>
      <c r="U177" s="2113">
        <f t="shared" si="135"/>
        <v>0.3</v>
      </c>
      <c r="V177" s="2113">
        <f t="shared" si="136"/>
        <v>0.3</v>
      </c>
      <c r="W177" s="2113">
        <f t="shared" si="137"/>
        <v>0.3</v>
      </c>
      <c r="X177" s="2113">
        <f t="shared" si="138"/>
        <v>0.3</v>
      </c>
      <c r="Y177" s="2113">
        <f t="shared" si="139"/>
        <v>0.3</v>
      </c>
      <c r="Z177" s="2113">
        <f t="shared" si="140"/>
        <v>0.3</v>
      </c>
      <c r="AA177" s="2113">
        <f t="shared" si="141"/>
        <v>0.3</v>
      </c>
      <c r="AB177" s="2113">
        <f t="shared" si="142"/>
        <v>0.2</v>
      </c>
      <c r="AC177" s="2167">
        <f t="shared" si="130"/>
        <v>0</v>
      </c>
      <c r="AD177" s="2166">
        <f t="shared" si="131"/>
        <v>0</v>
      </c>
      <c r="AE177" s="2166">
        <f t="shared" si="132"/>
        <v>0</v>
      </c>
      <c r="AG177" s="2199" t="s">
        <v>1847</v>
      </c>
      <c r="AH177" s="2110" t="s">
        <v>2407</v>
      </c>
      <c r="AI177" s="2200" t="s">
        <v>2099</v>
      </c>
      <c r="AJ177" s="2113">
        <v>0.3</v>
      </c>
      <c r="AK177" s="2113">
        <v>0.3</v>
      </c>
      <c r="AL177" s="2113">
        <v>0.3</v>
      </c>
      <c r="AM177" s="2113">
        <v>0.3</v>
      </c>
      <c r="AN177" s="2113">
        <v>0.3</v>
      </c>
      <c r="AO177" s="2113">
        <v>0.3</v>
      </c>
      <c r="AP177" s="2113">
        <v>0.3</v>
      </c>
      <c r="AQ177" s="2113">
        <v>0.3</v>
      </c>
      <c r="AR177" s="2113">
        <v>0.3</v>
      </c>
      <c r="AS177" s="2130">
        <v>0.2</v>
      </c>
      <c r="AT177" s="2169"/>
      <c r="AU177" s="2168"/>
      <c r="AV177" s="2168"/>
      <c r="AX177" s="2199" t="s">
        <v>1849</v>
      </c>
      <c r="AY177" s="2110" t="s">
        <v>2407</v>
      </c>
      <c r="AZ177" s="2200" t="s">
        <v>2099</v>
      </c>
      <c r="BA177" s="2113">
        <v>0.3</v>
      </c>
      <c r="BB177" s="2113">
        <v>0.3</v>
      </c>
      <c r="BC177" s="2113">
        <v>0.3</v>
      </c>
      <c r="BD177" s="2113">
        <v>0.3</v>
      </c>
      <c r="BE177" s="2113">
        <v>0.3</v>
      </c>
      <c r="BF177" s="2113">
        <v>0.3</v>
      </c>
      <c r="BG177" s="2113">
        <v>0.3</v>
      </c>
      <c r="BH177" s="2113">
        <v>0.3</v>
      </c>
      <c r="BI177" s="2113">
        <v>0.3</v>
      </c>
      <c r="BJ177" s="2168">
        <v>0.2</v>
      </c>
      <c r="BK177" s="2169"/>
      <c r="BL177" s="2168"/>
      <c r="BM177" s="2168"/>
      <c r="BO177" s="2199" t="s">
        <v>1849</v>
      </c>
      <c r="BP177" s="2110" t="s">
        <v>2407</v>
      </c>
      <c r="BQ177" s="2200" t="s">
        <v>2099</v>
      </c>
      <c r="BR177" s="2113">
        <v>0.3</v>
      </c>
      <c r="BS177" s="2113">
        <v>0.3</v>
      </c>
      <c r="BT177" s="2113">
        <v>0.3</v>
      </c>
      <c r="BU177" s="2113">
        <v>0.3</v>
      </c>
      <c r="BV177" s="2113">
        <v>0.3</v>
      </c>
      <c r="BW177" s="2113">
        <v>0.3</v>
      </c>
      <c r="BX177" s="2113">
        <v>0.3</v>
      </c>
      <c r="BY177" s="2113">
        <v>0.3</v>
      </c>
      <c r="BZ177" s="2113">
        <v>0.3</v>
      </c>
      <c r="CA177" s="2168">
        <v>0.2</v>
      </c>
      <c r="CB177" s="2169"/>
      <c r="CC177" s="2168"/>
      <c r="CD177" s="2168"/>
      <c r="CE177" s="2557"/>
    </row>
    <row r="178" spans="2:83">
      <c r="B178" s="2080" t="str">
        <f t="shared" si="154"/>
        <v>3.3</v>
      </c>
      <c r="C178" s="2107" t="str">
        <f t="shared" si="150"/>
        <v>光害の抑制</v>
      </c>
      <c r="D178" s="2104">
        <f>IF(I$169=0,0,G178/I$169)</f>
        <v>0.2</v>
      </c>
      <c r="E178" s="2104">
        <f>IF(J$169=0,0,H178/J$169)</f>
        <v>0</v>
      </c>
      <c r="G178" s="2105">
        <f t="shared" si="151"/>
        <v>0.2</v>
      </c>
      <c r="H178" s="2105">
        <f t="shared" si="152"/>
        <v>0</v>
      </c>
      <c r="I178" s="2105">
        <f>SUM(G179:G180)</f>
        <v>1</v>
      </c>
      <c r="J178" s="2105">
        <f>SUM(H179:H180)</f>
        <v>0</v>
      </c>
      <c r="K178" s="2105">
        <f>IF(スコア!M178=0,0,1)</f>
        <v>1</v>
      </c>
      <c r="L178" s="2105">
        <f>IF(スコア!O178=0,0,1)</f>
        <v>0</v>
      </c>
      <c r="M178" s="2105">
        <f t="shared" si="153"/>
        <v>0.2</v>
      </c>
      <c r="N178" s="2105">
        <f t="shared" si="127"/>
        <v>0</v>
      </c>
      <c r="P178" s="2198" t="str">
        <f t="shared" si="119"/>
        <v>3.3</v>
      </c>
      <c r="Q178" s="2110" t="str">
        <f t="shared" si="120"/>
        <v>LR3 3</v>
      </c>
      <c r="R178" s="2107" t="str">
        <f t="shared" si="129"/>
        <v>光害の抑制</v>
      </c>
      <c r="S178" s="2168">
        <f t="shared" si="133"/>
        <v>0.2</v>
      </c>
      <c r="T178" s="2168">
        <f t="shared" si="134"/>
        <v>0.2</v>
      </c>
      <c r="U178" s="2168">
        <f t="shared" si="135"/>
        <v>0.2</v>
      </c>
      <c r="V178" s="2168">
        <f t="shared" si="136"/>
        <v>0.2</v>
      </c>
      <c r="W178" s="2168">
        <f t="shared" si="137"/>
        <v>0.2</v>
      </c>
      <c r="X178" s="2168">
        <f t="shared" si="138"/>
        <v>0.2</v>
      </c>
      <c r="Y178" s="2168">
        <f t="shared" si="139"/>
        <v>0.2</v>
      </c>
      <c r="Z178" s="2168">
        <f t="shared" si="140"/>
        <v>0.2</v>
      </c>
      <c r="AA178" s="2168">
        <f t="shared" si="141"/>
        <v>0.2</v>
      </c>
      <c r="AB178" s="2168">
        <f t="shared" si="142"/>
        <v>0.2</v>
      </c>
      <c r="AC178" s="2167">
        <f t="shared" si="130"/>
        <v>0</v>
      </c>
      <c r="AD178" s="2166">
        <f t="shared" si="131"/>
        <v>0</v>
      </c>
      <c r="AE178" s="2166">
        <f t="shared" si="132"/>
        <v>0</v>
      </c>
      <c r="AG178" s="2199" t="s">
        <v>1850</v>
      </c>
      <c r="AH178" s="2110" t="s">
        <v>2760</v>
      </c>
      <c r="AI178" s="2200" t="s">
        <v>2409</v>
      </c>
      <c r="AJ178" s="2113">
        <v>0.2</v>
      </c>
      <c r="AK178" s="2113">
        <v>0.2</v>
      </c>
      <c r="AL178" s="2113">
        <v>0.2</v>
      </c>
      <c r="AM178" s="2113">
        <v>0.2</v>
      </c>
      <c r="AN178" s="2113">
        <v>0.2</v>
      </c>
      <c r="AO178" s="2113">
        <v>0.2</v>
      </c>
      <c r="AP178" s="2113">
        <v>0.2</v>
      </c>
      <c r="AQ178" s="2113">
        <v>0.2</v>
      </c>
      <c r="AR178" s="2113">
        <v>0.2</v>
      </c>
      <c r="AS178" s="2168">
        <v>0.2</v>
      </c>
      <c r="AT178" s="2169"/>
      <c r="AU178" s="2168"/>
      <c r="AV178" s="2168"/>
      <c r="AX178" s="2199" t="s">
        <v>1850</v>
      </c>
      <c r="AY178" s="2110" t="s">
        <v>2760</v>
      </c>
      <c r="AZ178" s="2200" t="s">
        <v>2409</v>
      </c>
      <c r="BA178" s="2168">
        <v>0.2</v>
      </c>
      <c r="BB178" s="2168">
        <v>0.2</v>
      </c>
      <c r="BC178" s="2168">
        <v>0.2</v>
      </c>
      <c r="BD178" s="2168">
        <v>0.2</v>
      </c>
      <c r="BE178" s="2168">
        <v>0.2</v>
      </c>
      <c r="BF178" s="2168">
        <v>0.2</v>
      </c>
      <c r="BG178" s="2168">
        <v>0.2</v>
      </c>
      <c r="BH178" s="2168">
        <v>0.2</v>
      </c>
      <c r="BI178" s="2168">
        <v>0.2</v>
      </c>
      <c r="BJ178" s="2168">
        <v>0.2</v>
      </c>
      <c r="BK178" s="2169"/>
      <c r="BL178" s="2168"/>
      <c r="BM178" s="2168"/>
      <c r="BO178" s="2199" t="s">
        <v>1850</v>
      </c>
      <c r="BP178" s="2110" t="s">
        <v>2760</v>
      </c>
      <c r="BQ178" s="2200" t="s">
        <v>2409</v>
      </c>
      <c r="BR178" s="2168">
        <v>0.2</v>
      </c>
      <c r="BS178" s="2168">
        <v>0.2</v>
      </c>
      <c r="BT178" s="2168">
        <v>0.2</v>
      </c>
      <c r="BU178" s="2168">
        <v>0.2</v>
      </c>
      <c r="BV178" s="2168">
        <v>0.2</v>
      </c>
      <c r="BW178" s="2168">
        <v>0.2</v>
      </c>
      <c r="BX178" s="2168">
        <v>0.2</v>
      </c>
      <c r="BY178" s="2168">
        <v>0.2</v>
      </c>
      <c r="BZ178" s="2168">
        <v>0.2</v>
      </c>
      <c r="CA178" s="2168">
        <v>0.2</v>
      </c>
      <c r="CB178" s="2169"/>
      <c r="CC178" s="2168"/>
      <c r="CD178" s="2168"/>
      <c r="CE178" s="2557"/>
    </row>
    <row r="179" spans="2:83">
      <c r="B179" s="2080" t="str">
        <f t="shared" si="154"/>
        <v>3.3.1</v>
      </c>
      <c r="C179" s="2200" t="str">
        <f t="shared" si="150"/>
        <v>屋外照明及び屋内照明のうち外に漏れる光への対策</v>
      </c>
      <c r="D179" s="2104">
        <f>IF(I$178=0,0,G179/I$178)</f>
        <v>0.7</v>
      </c>
      <c r="E179" s="2104">
        <f>IF(J$178=0,0,H179/J$178)</f>
        <v>0</v>
      </c>
      <c r="G179" s="2105">
        <f t="shared" si="151"/>
        <v>0.7</v>
      </c>
      <c r="H179" s="2105">
        <f t="shared" si="152"/>
        <v>0</v>
      </c>
      <c r="I179" s="2105"/>
      <c r="J179" s="2105"/>
      <c r="K179" s="2105">
        <f>IF(スコア!M179=0,0,1)</f>
        <v>1</v>
      </c>
      <c r="L179" s="2105">
        <f>IF(スコア!O179=0,0,1)</f>
        <v>0</v>
      </c>
      <c r="M179" s="2105">
        <f t="shared" si="153"/>
        <v>0.7</v>
      </c>
      <c r="N179" s="2105">
        <f t="shared" si="127"/>
        <v>0</v>
      </c>
      <c r="P179" s="2199" t="str">
        <f t="shared" si="119"/>
        <v>3.3.1</v>
      </c>
      <c r="Q179" s="2110" t="str">
        <f t="shared" si="120"/>
        <v>LR3 3.3</v>
      </c>
      <c r="R179" s="2200" t="str">
        <f t="shared" si="129"/>
        <v>屋外照明及び屋内照明のうち外に漏れる光への対策</v>
      </c>
      <c r="S179" s="2113">
        <f t="shared" si="133"/>
        <v>0.7</v>
      </c>
      <c r="T179" s="2113">
        <f t="shared" si="134"/>
        <v>0.7</v>
      </c>
      <c r="U179" s="2113">
        <f t="shared" si="135"/>
        <v>0.7</v>
      </c>
      <c r="V179" s="2113">
        <f t="shared" si="136"/>
        <v>0.7</v>
      </c>
      <c r="W179" s="2113">
        <f t="shared" si="137"/>
        <v>0.7</v>
      </c>
      <c r="X179" s="2113">
        <f t="shared" si="138"/>
        <v>0.7</v>
      </c>
      <c r="Y179" s="2113">
        <f t="shared" si="139"/>
        <v>0.7</v>
      </c>
      <c r="Z179" s="2113">
        <f t="shared" si="140"/>
        <v>0.7</v>
      </c>
      <c r="AA179" s="2113">
        <f t="shared" si="141"/>
        <v>0.7</v>
      </c>
      <c r="AB179" s="2113">
        <f t="shared" si="142"/>
        <v>0.7</v>
      </c>
      <c r="AC179" s="2167">
        <f t="shared" si="130"/>
        <v>0</v>
      </c>
      <c r="AD179" s="2166">
        <f t="shared" si="131"/>
        <v>0</v>
      </c>
      <c r="AE179" s="2166">
        <f t="shared" si="132"/>
        <v>0</v>
      </c>
      <c r="AG179" s="2199" t="s">
        <v>1851</v>
      </c>
      <c r="AH179" s="2110" t="s">
        <v>2408</v>
      </c>
      <c r="AI179" s="2200" t="s">
        <v>1852</v>
      </c>
      <c r="AJ179" s="2168">
        <v>0.7</v>
      </c>
      <c r="AK179" s="2168">
        <v>0.7</v>
      </c>
      <c r="AL179" s="2168">
        <v>0.7</v>
      </c>
      <c r="AM179" s="2168">
        <v>0.7</v>
      </c>
      <c r="AN179" s="2168">
        <v>0.7</v>
      </c>
      <c r="AO179" s="2168">
        <v>0.7</v>
      </c>
      <c r="AP179" s="2168">
        <v>0.7</v>
      </c>
      <c r="AQ179" s="2168">
        <v>0.7</v>
      </c>
      <c r="AR179" s="2168">
        <v>0.7</v>
      </c>
      <c r="AS179" s="2113">
        <v>0.7</v>
      </c>
      <c r="AT179" s="2169"/>
      <c r="AU179" s="2168"/>
      <c r="AV179" s="2168"/>
      <c r="AX179" s="2199" t="s">
        <v>1851</v>
      </c>
      <c r="AY179" s="2110" t="s">
        <v>2408</v>
      </c>
      <c r="AZ179" s="2200" t="s">
        <v>1852</v>
      </c>
      <c r="BA179" s="2113">
        <v>0.7</v>
      </c>
      <c r="BB179" s="2113">
        <v>0.7</v>
      </c>
      <c r="BC179" s="2113">
        <v>0.7</v>
      </c>
      <c r="BD179" s="2113">
        <v>0.7</v>
      </c>
      <c r="BE179" s="2113">
        <v>0.7</v>
      </c>
      <c r="BF179" s="2113">
        <v>0.7</v>
      </c>
      <c r="BG179" s="2113">
        <v>0.7</v>
      </c>
      <c r="BH179" s="2113">
        <v>0.7</v>
      </c>
      <c r="BI179" s="2113">
        <v>0.7</v>
      </c>
      <c r="BJ179" s="2113">
        <v>0.7</v>
      </c>
      <c r="BK179" s="2169"/>
      <c r="BL179" s="2168"/>
      <c r="BM179" s="2168"/>
      <c r="BO179" s="2199" t="s">
        <v>1851</v>
      </c>
      <c r="BP179" s="2110" t="s">
        <v>2408</v>
      </c>
      <c r="BQ179" s="2200" t="s">
        <v>1852</v>
      </c>
      <c r="BR179" s="2113">
        <v>0.7</v>
      </c>
      <c r="BS179" s="2113">
        <v>0.7</v>
      </c>
      <c r="BT179" s="2113">
        <v>0.7</v>
      </c>
      <c r="BU179" s="2113">
        <v>0.7</v>
      </c>
      <c r="BV179" s="2113">
        <v>0.7</v>
      </c>
      <c r="BW179" s="2113">
        <v>0.7</v>
      </c>
      <c r="BX179" s="2113">
        <v>0.7</v>
      </c>
      <c r="BY179" s="2113">
        <v>0.7</v>
      </c>
      <c r="BZ179" s="2113">
        <v>0.7</v>
      </c>
      <c r="CA179" s="2113">
        <v>0.7</v>
      </c>
      <c r="CB179" s="2169"/>
      <c r="CC179" s="2168"/>
      <c r="CD179" s="2168"/>
      <c r="CE179" s="2557"/>
    </row>
    <row r="180" spans="2:83">
      <c r="B180" s="2080" t="str">
        <f t="shared" si="154"/>
        <v>3.3.2</v>
      </c>
      <c r="C180" s="2200" t="str">
        <f t="shared" si="150"/>
        <v>昼光の建物外壁による反射光（グレア）への対策</v>
      </c>
      <c r="D180" s="2104">
        <f>IF(I$178=0,0,G180/I$178)</f>
        <v>0.3</v>
      </c>
      <c r="E180" s="2104">
        <f>IF(J$178=0,0,H180/J$178)</f>
        <v>0</v>
      </c>
      <c r="G180" s="2105">
        <f t="shared" si="151"/>
        <v>0.3</v>
      </c>
      <c r="H180" s="2105">
        <f t="shared" si="152"/>
        <v>0</v>
      </c>
      <c r="I180" s="2105"/>
      <c r="J180" s="2105"/>
      <c r="K180" s="2105">
        <f>IF(スコア!M180=0,0,1)</f>
        <v>1</v>
      </c>
      <c r="L180" s="2105">
        <f>IF(スコア!O180=0,0,1)</f>
        <v>0</v>
      </c>
      <c r="M180" s="2105">
        <f t="shared" si="153"/>
        <v>0.3</v>
      </c>
      <c r="N180" s="2105">
        <f t="shared" si="127"/>
        <v>0</v>
      </c>
      <c r="P180" s="2199" t="str">
        <f t="shared" si="119"/>
        <v>3.3.2</v>
      </c>
      <c r="Q180" s="2110" t="str">
        <f t="shared" si="120"/>
        <v>LR3 3.3</v>
      </c>
      <c r="R180" s="2200" t="str">
        <f t="shared" si="129"/>
        <v>昼光の建物外壁による反射光（グレア）への対策</v>
      </c>
      <c r="S180" s="2113">
        <f t="shared" si="133"/>
        <v>0.3</v>
      </c>
      <c r="T180" s="2113">
        <f t="shared" si="134"/>
        <v>0.3</v>
      </c>
      <c r="U180" s="2113">
        <f t="shared" si="135"/>
        <v>0.3</v>
      </c>
      <c r="V180" s="2113">
        <f t="shared" si="136"/>
        <v>0.3</v>
      </c>
      <c r="W180" s="2113">
        <f t="shared" si="137"/>
        <v>0.3</v>
      </c>
      <c r="X180" s="2113">
        <f t="shared" si="138"/>
        <v>0.3</v>
      </c>
      <c r="Y180" s="2113">
        <f t="shared" si="139"/>
        <v>0.3</v>
      </c>
      <c r="Z180" s="2113">
        <f t="shared" si="140"/>
        <v>0.3</v>
      </c>
      <c r="AA180" s="2113">
        <f t="shared" si="141"/>
        <v>0.3</v>
      </c>
      <c r="AB180" s="2113">
        <f t="shared" si="142"/>
        <v>0.3</v>
      </c>
      <c r="AC180" s="2167">
        <f t="shared" si="130"/>
        <v>0</v>
      </c>
      <c r="AD180" s="2166">
        <f t="shared" si="131"/>
        <v>0</v>
      </c>
      <c r="AE180" s="2166">
        <f t="shared" si="132"/>
        <v>0</v>
      </c>
      <c r="AG180" s="2199" t="s">
        <v>3151</v>
      </c>
      <c r="AH180" s="2110" t="s">
        <v>2408</v>
      </c>
      <c r="AI180" s="2200" t="s">
        <v>3152</v>
      </c>
      <c r="AJ180" s="2113">
        <v>0.3</v>
      </c>
      <c r="AK180" s="2113">
        <v>0.3</v>
      </c>
      <c r="AL180" s="2113">
        <v>0.3</v>
      </c>
      <c r="AM180" s="2113">
        <v>0.3</v>
      </c>
      <c r="AN180" s="2113">
        <v>0.3</v>
      </c>
      <c r="AO180" s="2113">
        <v>0.3</v>
      </c>
      <c r="AP180" s="2113">
        <v>0.3</v>
      </c>
      <c r="AQ180" s="2113">
        <v>0.3</v>
      </c>
      <c r="AR180" s="2113">
        <v>0.3</v>
      </c>
      <c r="AS180" s="2113">
        <v>0.3</v>
      </c>
      <c r="AT180" s="2169"/>
      <c r="AU180" s="2168"/>
      <c r="AV180" s="2168"/>
      <c r="AX180" s="2199" t="s">
        <v>3151</v>
      </c>
      <c r="AY180" s="2110" t="s">
        <v>2408</v>
      </c>
      <c r="AZ180" s="2200" t="s">
        <v>3152</v>
      </c>
      <c r="BA180" s="2113">
        <v>0.3</v>
      </c>
      <c r="BB180" s="2113">
        <v>0.3</v>
      </c>
      <c r="BC180" s="2113">
        <v>0.3</v>
      </c>
      <c r="BD180" s="2113">
        <v>0.3</v>
      </c>
      <c r="BE180" s="2113">
        <v>0.3</v>
      </c>
      <c r="BF180" s="2113">
        <v>0.3</v>
      </c>
      <c r="BG180" s="2113">
        <v>0.3</v>
      </c>
      <c r="BH180" s="2113">
        <v>0.3</v>
      </c>
      <c r="BI180" s="2113">
        <v>0.3</v>
      </c>
      <c r="BJ180" s="2113">
        <v>0.3</v>
      </c>
      <c r="BK180" s="2169"/>
      <c r="BL180" s="2168"/>
      <c r="BM180" s="2168"/>
      <c r="BO180" s="2199" t="s">
        <v>3151</v>
      </c>
      <c r="BP180" s="2110" t="s">
        <v>2408</v>
      </c>
      <c r="BQ180" s="2200" t="s">
        <v>3152</v>
      </c>
      <c r="BR180" s="2113">
        <v>0.3</v>
      </c>
      <c r="BS180" s="2113">
        <v>0.3</v>
      </c>
      <c r="BT180" s="2113">
        <v>0.3</v>
      </c>
      <c r="BU180" s="2113">
        <v>0.3</v>
      </c>
      <c r="BV180" s="2113">
        <v>0.3</v>
      </c>
      <c r="BW180" s="2113">
        <v>0.3</v>
      </c>
      <c r="BX180" s="2113">
        <v>0.3</v>
      </c>
      <c r="BY180" s="2113">
        <v>0.3</v>
      </c>
      <c r="BZ180" s="2113">
        <v>0.3</v>
      </c>
      <c r="CA180" s="2113">
        <v>0.3</v>
      </c>
      <c r="CB180" s="2169"/>
      <c r="CC180" s="2168"/>
      <c r="CD180" s="2168"/>
      <c r="CE180" s="2557"/>
    </row>
    <row r="181" spans="2:83"/>
    <row r="182" spans="2:83" hidden="1"/>
    <row r="183" spans="2:83" hidden="1"/>
    <row r="184" spans="2:83" hidden="1"/>
    <row r="185" spans="2:83" hidden="1"/>
    <row r="186" spans="2:83" hidden="1"/>
    <row r="187" spans="2:83" hidden="1"/>
    <row r="188" spans="2:83" hidden="1"/>
    <row r="189" spans="2:83" hidden="1"/>
    <row r="190" spans="2:83" hidden="1"/>
    <row r="191" spans="2:83" hidden="1"/>
    <row r="192" spans="2:83"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sheetData>
  <sheetProtection password="9DA9" sheet="1" objects="1" scenarios="1"/>
  <mergeCells count="8">
    <mergeCell ref="BR5:BZ5"/>
    <mergeCell ref="CB5:CD5"/>
    <mergeCell ref="S5:AA5"/>
    <mergeCell ref="AC5:AE5"/>
    <mergeCell ref="BA5:BI5"/>
    <mergeCell ref="BK5:BM5"/>
    <mergeCell ref="AJ5:AR5"/>
    <mergeCell ref="AT5:AV5"/>
  </mergeCells>
  <phoneticPr fontId="21"/>
  <printOptions horizontalCentered="1"/>
  <pageMargins left="0.59055118110236227" right="0.59055118110236227" top="0.78740157480314965" bottom="0.59055118110236227" header="0.51181102362204722" footer="0.51181102362204722"/>
  <pageSetup paperSize="9" scale="32" fitToWidth="2" orientation="portrait" verticalDpi="4294967293" r:id="rId1"/>
  <headerFooter alignWithMargins="0">
    <oddHeader>&amp;L&amp;F&amp;R&amp;A</oddHeader>
    <oddFooter>&amp;C&amp;P/&amp;N</oddFooter>
  </headerFooter>
  <colBreaks count="1" manualBreakCount="1">
    <brk id="48" max="1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7"/>
  <sheetViews>
    <sheetView showGridLines="0" zoomScaleNormal="100" workbookViewId="0"/>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858" t="s">
        <v>586</v>
      </c>
      <c r="C2" s="1859"/>
      <c r="D2" s="1859"/>
      <c r="E2" s="1521" t="s">
        <v>2952</v>
      </c>
      <c r="F2" s="1522" t="str">
        <f>メイン!C11</f>
        <v>○○ビル</v>
      </c>
    </row>
    <row r="3" spans="2:6" ht="16.5" customHeight="1">
      <c r="F3" s="1860" t="str">
        <f>メイン!C5</f>
        <v>CASBEE_Nagoya_2014(v.1.22)</v>
      </c>
    </row>
    <row r="4" spans="2:6">
      <c r="B4" s="3366" t="s">
        <v>2347</v>
      </c>
      <c r="C4" s="3367"/>
      <c r="D4" s="1861" t="s">
        <v>2873</v>
      </c>
      <c r="E4" s="1862" t="s">
        <v>2616</v>
      </c>
      <c r="F4" s="1862" t="s">
        <v>1440</v>
      </c>
    </row>
    <row r="5" spans="2:6" ht="35.25" customHeight="1">
      <c r="B5" s="3368" t="s">
        <v>2874</v>
      </c>
      <c r="C5" s="1862" t="s">
        <v>1940</v>
      </c>
      <c r="D5" s="1861" t="str">
        <f>メイン!C21</f>
        <v>事務所,</v>
      </c>
      <c r="E5" s="1861" t="str">
        <f>D5</f>
        <v>事務所,</v>
      </c>
      <c r="F5" s="1862"/>
    </row>
    <row r="6" spans="2:6">
      <c r="B6" s="3369"/>
      <c r="C6" s="1862" t="s">
        <v>2875</v>
      </c>
      <c r="D6" s="1864">
        <f>メイン!C19</f>
        <v>3000</v>
      </c>
      <c r="E6" s="1864">
        <f>D6</f>
        <v>3000</v>
      </c>
      <c r="F6" s="1855"/>
    </row>
    <row r="7" spans="2:6">
      <c r="B7" s="3370"/>
      <c r="C7" s="1862" t="s">
        <v>2876</v>
      </c>
      <c r="D7" s="1862" t="str">
        <f>メイン!C23</f>
        <v>RC造</v>
      </c>
      <c r="E7" s="1862" t="str">
        <f>D7</f>
        <v>RC造</v>
      </c>
      <c r="F7" s="1855"/>
    </row>
    <row r="8" spans="2:6" ht="31.5" customHeight="1">
      <c r="B8" s="1861" t="s">
        <v>2877</v>
      </c>
      <c r="C8" s="1866" t="s">
        <v>2878</v>
      </c>
      <c r="D8" s="1867" t="str">
        <f>CO2計算!O35</f>
        <v>事務所部分60年,</v>
      </c>
      <c r="E8" s="1867" t="str">
        <f>CO2計算!L35</f>
        <v>事務所部分60年,</v>
      </c>
      <c r="F8" s="1868"/>
    </row>
    <row r="9" spans="2:6" ht="19.5" customHeight="1">
      <c r="B9" s="1869"/>
      <c r="C9" s="1866" t="s">
        <v>356</v>
      </c>
      <c r="D9" s="1870">
        <f>CO2計算!O133</f>
        <v>13.23</v>
      </c>
      <c r="E9" s="1870">
        <f>CO2計算!L133</f>
        <v>13.23</v>
      </c>
      <c r="F9" s="1871" t="s">
        <v>2879</v>
      </c>
    </row>
    <row r="10" spans="2:6" ht="29.25" customHeight="1">
      <c r="B10" s="3363" t="s">
        <v>1728</v>
      </c>
      <c r="C10" s="1861" t="s">
        <v>1729</v>
      </c>
      <c r="D10" s="1872" t="s">
        <v>1478</v>
      </c>
      <c r="E10" s="1873" t="s">
        <v>1730</v>
      </c>
      <c r="F10" s="1855"/>
    </row>
    <row r="11" spans="2:6" ht="29.25" customHeight="1">
      <c r="B11" s="3363"/>
      <c r="C11" s="1861" t="s">
        <v>1731</v>
      </c>
      <c r="D11" s="1872" t="s">
        <v>1479</v>
      </c>
      <c r="E11" s="1874" t="s">
        <v>2858</v>
      </c>
      <c r="F11" s="1855"/>
    </row>
    <row r="12" spans="2:6">
      <c r="B12" s="3363"/>
      <c r="C12" s="1863" t="s">
        <v>587</v>
      </c>
      <c r="D12" s="1875" t="s">
        <v>2859</v>
      </c>
      <c r="E12" s="1876" t="s">
        <v>2858</v>
      </c>
      <c r="F12" s="1877"/>
    </row>
    <row r="13" spans="2:6">
      <c r="B13" s="3364"/>
      <c r="C13" s="1879" t="s">
        <v>2621</v>
      </c>
      <c r="D13" s="1880"/>
      <c r="E13" s="1881"/>
      <c r="F13" s="1882"/>
    </row>
    <row r="14" spans="2:6" ht="19.5" customHeight="1">
      <c r="B14" s="3363"/>
      <c r="C14" s="1883" t="s">
        <v>2624</v>
      </c>
      <c r="D14" s="1884">
        <f>CO2計算!O93</f>
        <v>0.77200000000000002</v>
      </c>
      <c r="E14" s="1885">
        <f>CO2計算!L93</f>
        <v>0.77200000000000002</v>
      </c>
      <c r="F14" s="1886" t="s">
        <v>588</v>
      </c>
    </row>
    <row r="15" spans="2:6" ht="14.25">
      <c r="B15" s="3363"/>
      <c r="C15" s="1887" t="s">
        <v>2626</v>
      </c>
      <c r="D15" s="1888">
        <f>CO2計算!O94</f>
        <v>0</v>
      </c>
      <c r="E15" s="1889">
        <f>CO2計算!L94</f>
        <v>0</v>
      </c>
      <c r="F15" s="1890" t="s">
        <v>588</v>
      </c>
    </row>
    <row r="16" spans="2:6">
      <c r="B16" s="3363"/>
      <c r="C16" s="1887" t="s">
        <v>2627</v>
      </c>
      <c r="D16" s="1888">
        <f>CO2計算!O95</f>
        <v>3.7999999999999999E-2</v>
      </c>
      <c r="E16" s="1889">
        <f>CO2計算!L95</f>
        <v>3.7999999999999999E-2</v>
      </c>
      <c r="F16" s="1891" t="s">
        <v>2628</v>
      </c>
    </row>
    <row r="17" spans="2:6" hidden="1">
      <c r="B17" s="3363"/>
      <c r="C17" s="1887" t="s">
        <v>2629</v>
      </c>
      <c r="D17" s="1888">
        <f>CO2計算!O96</f>
        <v>0</v>
      </c>
      <c r="E17" s="1889">
        <f>CO2計算!L96</f>
        <v>0</v>
      </c>
      <c r="F17" s="1891" t="s">
        <v>2628</v>
      </c>
    </row>
    <row r="18" spans="2:6">
      <c r="B18" s="3363"/>
      <c r="C18" s="1887" t="s">
        <v>2630</v>
      </c>
      <c r="D18" s="1888">
        <f>CO2計算!O97</f>
        <v>0.10299999999999999</v>
      </c>
      <c r="E18" s="1889">
        <f>CO2計算!L97</f>
        <v>0.10299999999999999</v>
      </c>
      <c r="F18" s="1891" t="s">
        <v>2628</v>
      </c>
    </row>
    <row r="19" spans="2:6">
      <c r="B19" s="3363"/>
      <c r="C19" s="1887" t="s">
        <v>2267</v>
      </c>
      <c r="D19" s="1888">
        <f>CO2計算!O98</f>
        <v>1.2999999999999999E-2</v>
      </c>
      <c r="E19" s="1889">
        <f>CO2計算!L98</f>
        <v>1.2999999999999999E-2</v>
      </c>
      <c r="F19" s="1891" t="s">
        <v>2628</v>
      </c>
    </row>
    <row r="20" spans="2:6">
      <c r="B20" s="3363"/>
      <c r="C20" s="1892" t="s">
        <v>589</v>
      </c>
      <c r="D20" s="1892" t="s">
        <v>590</v>
      </c>
      <c r="E20" s="1893" t="s">
        <v>1726</v>
      </c>
      <c r="F20" s="1894" t="s">
        <v>591</v>
      </c>
    </row>
    <row r="21" spans="2:6">
      <c r="B21" s="3364"/>
      <c r="C21" s="1879" t="s">
        <v>1727</v>
      </c>
      <c r="D21" s="1880"/>
      <c r="E21" s="1881"/>
      <c r="F21" s="1895"/>
    </row>
    <row r="22" spans="2:6" ht="15">
      <c r="B22" s="3363"/>
      <c r="C22" s="1883" t="s">
        <v>2624</v>
      </c>
      <c r="D22" s="1884">
        <v>266.70999999999998</v>
      </c>
      <c r="E22" s="1885" t="s">
        <v>1726</v>
      </c>
      <c r="F22" s="1890" t="s">
        <v>592</v>
      </c>
    </row>
    <row r="23" spans="2:6" ht="15">
      <c r="B23" s="3363"/>
      <c r="C23" s="1887" t="s">
        <v>2626</v>
      </c>
      <c r="D23" s="1888">
        <v>216.57</v>
      </c>
      <c r="E23" s="1889" t="s">
        <v>1726</v>
      </c>
      <c r="F23" s="1891" t="s">
        <v>592</v>
      </c>
    </row>
    <row r="24" spans="2:6" ht="14.25">
      <c r="B24" s="3363"/>
      <c r="C24" s="1887" t="s">
        <v>2627</v>
      </c>
      <c r="D24" s="1888">
        <v>1.28</v>
      </c>
      <c r="E24" s="1889" t="s">
        <v>1726</v>
      </c>
      <c r="F24" s="1891" t="s">
        <v>593</v>
      </c>
    </row>
    <row r="25" spans="2:6" ht="14.25" hidden="1">
      <c r="B25" s="3363"/>
      <c r="C25" s="1887" t="s">
        <v>2629</v>
      </c>
      <c r="D25" s="1888">
        <v>1.28</v>
      </c>
      <c r="E25" s="1889" t="s">
        <v>1726</v>
      </c>
      <c r="F25" s="1891" t="s">
        <v>594</v>
      </c>
    </row>
    <row r="26" spans="2:6" ht="14.25">
      <c r="B26" s="3363"/>
      <c r="C26" s="1887" t="s">
        <v>2630</v>
      </c>
      <c r="D26" s="1888">
        <v>0.51</v>
      </c>
      <c r="E26" s="1889" t="s">
        <v>1726</v>
      </c>
      <c r="F26" s="1891" t="s">
        <v>593</v>
      </c>
    </row>
    <row r="27" spans="2:6" ht="14.25">
      <c r="B27" s="3363"/>
      <c r="C27" s="1887" t="s">
        <v>310</v>
      </c>
      <c r="D27" s="1888">
        <v>4.75</v>
      </c>
      <c r="E27" s="1889" t="s">
        <v>1726</v>
      </c>
      <c r="F27" s="1891" t="s">
        <v>595</v>
      </c>
    </row>
    <row r="28" spans="2:6" ht="14.25">
      <c r="B28" s="3363"/>
      <c r="C28" s="1892" t="s">
        <v>589</v>
      </c>
      <c r="D28" s="1892" t="s">
        <v>590</v>
      </c>
      <c r="E28" s="1893" t="s">
        <v>596</v>
      </c>
      <c r="F28" s="1891" t="s">
        <v>593</v>
      </c>
    </row>
    <row r="29" spans="2:6" ht="14.25" thickBot="1">
      <c r="B29" s="3364"/>
      <c r="C29" s="1879" t="s">
        <v>311</v>
      </c>
      <c r="D29" s="1880"/>
      <c r="E29" s="1896"/>
      <c r="F29" s="1897"/>
    </row>
    <row r="30" spans="2:6" ht="29.25" customHeight="1">
      <c r="B30" s="3363"/>
      <c r="C30" s="1883" t="s">
        <v>312</v>
      </c>
      <c r="D30" s="1898">
        <v>0</v>
      </c>
      <c r="E30" s="1899">
        <v>0</v>
      </c>
      <c r="F30" s="1900"/>
    </row>
    <row r="31" spans="2:6" ht="29.25" customHeight="1" thickBot="1">
      <c r="B31" s="3363"/>
      <c r="C31" s="1883" t="s">
        <v>313</v>
      </c>
      <c r="D31" s="1898">
        <v>0</v>
      </c>
      <c r="E31" s="1901">
        <v>0</v>
      </c>
      <c r="F31" s="1902"/>
    </row>
    <row r="32" spans="2:6" ht="24" customHeight="1">
      <c r="B32" s="3363"/>
      <c r="C32" s="1887" t="s">
        <v>314</v>
      </c>
      <c r="D32" s="1898">
        <v>0</v>
      </c>
      <c r="E32" s="1898">
        <v>0</v>
      </c>
      <c r="F32" s="1903"/>
    </row>
    <row r="33" spans="2:6" ht="24" customHeight="1">
      <c r="B33" s="3363"/>
      <c r="C33" s="1904" t="s">
        <v>315</v>
      </c>
      <c r="D33" s="1905">
        <v>0</v>
      </c>
      <c r="E33" s="1905">
        <v>0</v>
      </c>
      <c r="F33" s="1906"/>
    </row>
    <row r="34" spans="2:6" ht="19.5" customHeight="1">
      <c r="B34" s="1863"/>
      <c r="C34" s="1907" t="s">
        <v>356</v>
      </c>
      <c r="D34" s="1908">
        <f>CO2計算!O134</f>
        <v>16.456</v>
      </c>
      <c r="E34" s="1909">
        <f>CO2計算!L134</f>
        <v>16.456</v>
      </c>
      <c r="F34" s="1871" t="s">
        <v>2879</v>
      </c>
    </row>
    <row r="35" spans="2:6">
      <c r="B35" s="1878" t="s">
        <v>597</v>
      </c>
      <c r="C35" s="1910" t="s">
        <v>316</v>
      </c>
      <c r="D35" s="1911"/>
      <c r="E35" s="1911"/>
      <c r="F35" s="1882"/>
    </row>
    <row r="36" spans="2:6">
      <c r="B36" s="1869" t="s">
        <v>598</v>
      </c>
      <c r="C36" s="1912" t="s">
        <v>2866</v>
      </c>
      <c r="D36" s="1913">
        <f>CO2データ!I269</f>
        <v>25</v>
      </c>
      <c r="E36" s="1913">
        <f>CO2データ!I269</f>
        <v>25</v>
      </c>
      <c r="F36" s="1906"/>
    </row>
    <row r="37" spans="2:6" ht="13.5" hidden="1" customHeight="1">
      <c r="B37" s="1869"/>
      <c r="C37" s="1912" t="s">
        <v>2868</v>
      </c>
      <c r="D37" s="1914"/>
      <c r="E37" s="1914"/>
      <c r="F37" s="1915"/>
    </row>
    <row r="38" spans="2:6">
      <c r="B38" s="1869"/>
      <c r="C38" s="1866" t="s">
        <v>2869</v>
      </c>
      <c r="D38" s="1914">
        <f>CO2データ!I271</f>
        <v>18</v>
      </c>
      <c r="E38" s="1914">
        <f>CO2データ!I271</f>
        <v>18</v>
      </c>
      <c r="F38" s="1915"/>
    </row>
    <row r="39" spans="2:6">
      <c r="B39" s="1869"/>
      <c r="C39" s="1907" t="s">
        <v>2870</v>
      </c>
      <c r="D39" s="1913">
        <f>CO2データ!I272</f>
        <v>15</v>
      </c>
      <c r="E39" s="1913">
        <f>CO2データ!I272</f>
        <v>15</v>
      </c>
      <c r="F39" s="1906"/>
    </row>
    <row r="40" spans="2:6">
      <c r="B40" s="1878"/>
      <c r="C40" s="1910" t="s">
        <v>317</v>
      </c>
      <c r="D40" s="1911"/>
      <c r="E40" s="1911"/>
      <c r="F40" s="1882"/>
    </row>
    <row r="41" spans="2:6">
      <c r="B41" s="1869"/>
      <c r="C41" s="1912" t="s">
        <v>2866</v>
      </c>
      <c r="D41" s="1916">
        <f>CO2データ!I275</f>
        <v>0.01</v>
      </c>
      <c r="E41" s="1916">
        <f>CO2データ!I275</f>
        <v>0.01</v>
      </c>
      <c r="F41" s="1917"/>
    </row>
    <row r="42" spans="2:6">
      <c r="B42" s="1869"/>
      <c r="C42" s="1866" t="s">
        <v>2869</v>
      </c>
      <c r="D42" s="1918">
        <f>CO2データ!I276</f>
        <v>0.01</v>
      </c>
      <c r="E42" s="1918">
        <f>CO2データ!I276</f>
        <v>0.01</v>
      </c>
      <c r="F42" s="1919"/>
    </row>
    <row r="43" spans="2:6">
      <c r="B43" s="1869"/>
      <c r="C43" s="1866" t="s">
        <v>2870</v>
      </c>
      <c r="D43" s="1920">
        <f>CO2データ!I277</f>
        <v>0.02</v>
      </c>
      <c r="E43" s="1920">
        <f>CO2データ!I277</f>
        <v>0.02</v>
      </c>
      <c r="F43" s="1921"/>
    </row>
    <row r="44" spans="2:6" ht="29.25" customHeight="1">
      <c r="B44" s="1922"/>
      <c r="C44" s="1866" t="s">
        <v>714</v>
      </c>
      <c r="D44" s="1872" t="s">
        <v>715</v>
      </c>
      <c r="E44" s="1861" t="s">
        <v>716</v>
      </c>
      <c r="F44" s="1855"/>
    </row>
    <row r="45" spans="2:6">
      <c r="B45" s="1863"/>
      <c r="C45" s="1910" t="s">
        <v>356</v>
      </c>
      <c r="D45" s="1880"/>
      <c r="E45" s="1923"/>
      <c r="F45" s="1924"/>
    </row>
    <row r="46" spans="2:6" ht="24" customHeight="1">
      <c r="B46" s="1869"/>
      <c r="C46" s="1861" t="s">
        <v>599</v>
      </c>
      <c r="D46" s="1870">
        <f>CO2計算!O135</f>
        <v>82.100429508196726</v>
      </c>
      <c r="E46" s="1870">
        <f>CO2計算!L116</f>
        <v>73.890386557377056</v>
      </c>
      <c r="F46" s="1871" t="s">
        <v>2879</v>
      </c>
    </row>
    <row r="47" spans="2:6" ht="24" customHeight="1">
      <c r="B47" s="1869"/>
      <c r="C47" s="1883" t="s">
        <v>600</v>
      </c>
      <c r="D47" s="1925" t="s">
        <v>601</v>
      </c>
      <c r="E47" s="1926">
        <f>CO2計算!L123</f>
        <v>73.890386557377056</v>
      </c>
      <c r="F47" s="1890" t="s">
        <v>602</v>
      </c>
    </row>
    <row r="48" spans="2:6" ht="24" hidden="1" customHeight="1">
      <c r="B48" s="3363" t="s">
        <v>717</v>
      </c>
      <c r="C48" s="1892"/>
      <c r="D48" s="1927"/>
      <c r="E48" s="1928"/>
      <c r="F48" s="1929" t="s">
        <v>2879</v>
      </c>
    </row>
    <row r="49" spans="2:6" ht="24" hidden="1" customHeight="1">
      <c r="B49" s="3363"/>
      <c r="C49" s="1869"/>
      <c r="D49" s="1930"/>
      <c r="E49" s="1928"/>
      <c r="F49" s="1929" t="s">
        <v>603</v>
      </c>
    </row>
    <row r="50" spans="2:6" ht="24" hidden="1" customHeight="1">
      <c r="B50" s="3363"/>
      <c r="C50" s="1869"/>
      <c r="D50" s="1931"/>
      <c r="E50" s="1932">
        <f>'条件(個別)'!E80</f>
        <v>0</v>
      </c>
      <c r="F50" s="1933" t="s">
        <v>604</v>
      </c>
    </row>
    <row r="51" spans="2:6" ht="24" hidden="1" customHeight="1">
      <c r="B51" s="3363"/>
      <c r="C51" s="1922"/>
      <c r="D51" s="1934" t="s">
        <v>1225</v>
      </c>
      <c r="E51" s="1935" t="s">
        <v>605</v>
      </c>
      <c r="F51" s="1936"/>
    </row>
    <row r="52" spans="2:6" ht="29.25" customHeight="1">
      <c r="B52" s="3364"/>
      <c r="C52" s="1937" t="s">
        <v>606</v>
      </c>
      <c r="D52" s="2499" t="s">
        <v>605</v>
      </c>
      <c r="E52" s="2500">
        <f>E47</f>
        <v>73.890386557377056</v>
      </c>
      <c r="F52" s="1886" t="s">
        <v>607</v>
      </c>
    </row>
    <row r="53" spans="2:6" ht="30" customHeight="1">
      <c r="B53" s="3363"/>
      <c r="C53" s="1892" t="s">
        <v>718</v>
      </c>
      <c r="D53" s="1940" t="s">
        <v>608</v>
      </c>
      <c r="E53" s="1941" t="s">
        <v>601</v>
      </c>
      <c r="F53" s="1891"/>
    </row>
    <row r="54" spans="2:6" ht="27.75" customHeight="1">
      <c r="B54" s="3363"/>
      <c r="C54" s="1869"/>
      <c r="D54" s="1940" t="s">
        <v>609</v>
      </c>
      <c r="E54" s="1941" t="s">
        <v>601</v>
      </c>
      <c r="F54" s="1891"/>
    </row>
    <row r="55" spans="2:6" ht="24" customHeight="1">
      <c r="B55" s="3363"/>
      <c r="C55" s="1869"/>
      <c r="D55" s="1940" t="s">
        <v>610</v>
      </c>
      <c r="E55" s="1941" t="s">
        <v>601</v>
      </c>
      <c r="F55" s="1891"/>
    </row>
    <row r="56" spans="2:6" ht="29.25" customHeight="1">
      <c r="B56" s="1869"/>
      <c r="C56" s="1869"/>
      <c r="D56" s="1940" t="s">
        <v>611</v>
      </c>
      <c r="E56" s="1941" t="s">
        <v>601</v>
      </c>
      <c r="F56" s="1939"/>
    </row>
    <row r="57" spans="2:6" ht="24" hidden="1" customHeight="1">
      <c r="B57" s="1869"/>
      <c r="C57" s="1922"/>
      <c r="D57" s="1942"/>
      <c r="E57" s="1935" t="s">
        <v>601</v>
      </c>
      <c r="F57" s="1936"/>
    </row>
    <row r="58" spans="2:6" ht="29.25" customHeight="1">
      <c r="B58" s="3363"/>
      <c r="C58" s="1866" t="s">
        <v>1226</v>
      </c>
      <c r="D58" s="1872" t="s">
        <v>2940</v>
      </c>
      <c r="E58" s="1872" t="s">
        <v>2941</v>
      </c>
      <c r="F58" s="1855"/>
    </row>
    <row r="59" spans="2:6" ht="18.75" customHeight="1">
      <c r="B59" s="3363"/>
      <c r="C59" s="1907" t="s">
        <v>487</v>
      </c>
      <c r="D59" s="1943">
        <f>CO2計算!H118+CO2計算!H121+CO2計算!H120</f>
        <v>4620</v>
      </c>
      <c r="E59" s="1943" t="e">
        <f>CO2計算!I125+CO2計算!I127+CO2計算!I126</f>
        <v>#VALUE!</v>
      </c>
      <c r="F59" s="1944" t="s">
        <v>726</v>
      </c>
    </row>
    <row r="60" spans="2:6">
      <c r="B60" s="3364"/>
      <c r="C60" s="1945" t="s">
        <v>1116</v>
      </c>
      <c r="D60" s="1911"/>
      <c r="E60" s="1911"/>
      <c r="F60" s="1924"/>
    </row>
    <row r="61" spans="2:6">
      <c r="B61" s="3363"/>
      <c r="C61" s="1946" t="s">
        <v>3007</v>
      </c>
      <c r="D61" s="1947">
        <f>CO2計算!J118</f>
        <v>5.3311967213114757E-2</v>
      </c>
      <c r="E61" s="1948" t="s">
        <v>716</v>
      </c>
      <c r="F61" s="1933" t="s">
        <v>189</v>
      </c>
    </row>
    <row r="62" spans="2:6" ht="14.25">
      <c r="B62" s="3363"/>
      <c r="C62" s="1946" t="s">
        <v>3008</v>
      </c>
      <c r="D62" s="1947">
        <f>CO2計算!J120</f>
        <v>5.5525114754098361E-2</v>
      </c>
      <c r="E62" s="1950" t="s">
        <v>716</v>
      </c>
      <c r="F62" s="1929" t="s">
        <v>192</v>
      </c>
    </row>
    <row r="63" spans="2:6">
      <c r="B63" s="3363"/>
      <c r="C63" s="1949" t="s">
        <v>2942</v>
      </c>
      <c r="D63" s="1950">
        <f>CO2データ!I95</f>
        <v>0.51600000000000001</v>
      </c>
      <c r="E63" s="1950" t="s">
        <v>716</v>
      </c>
      <c r="F63" s="1929" t="s">
        <v>190</v>
      </c>
    </row>
    <row r="64" spans="2:6" ht="14.25">
      <c r="B64" s="3363"/>
      <c r="C64" s="1949" t="s">
        <v>191</v>
      </c>
      <c r="D64" s="1950">
        <f>CO2データ!I97</f>
        <v>4.9799999999999997E-2</v>
      </c>
      <c r="E64" s="1950" t="s">
        <v>716</v>
      </c>
      <c r="F64" s="1929" t="s">
        <v>192</v>
      </c>
    </row>
    <row r="65" spans="2:6" ht="24">
      <c r="B65" s="3363"/>
      <c r="C65" s="1951" t="s">
        <v>2936</v>
      </c>
      <c r="D65" s="1952" t="s">
        <v>337</v>
      </c>
      <c r="E65" s="1952" t="s">
        <v>716</v>
      </c>
      <c r="F65" s="1953" t="s">
        <v>192</v>
      </c>
    </row>
    <row r="66" spans="2:6">
      <c r="B66" s="1869"/>
      <c r="C66" s="1954" t="s">
        <v>2937</v>
      </c>
      <c r="D66" s="1955"/>
      <c r="E66" s="1955"/>
      <c r="F66" s="1956"/>
    </row>
    <row r="67" spans="2:6">
      <c r="B67" s="1869"/>
      <c r="C67" s="1912"/>
      <c r="D67" s="1865"/>
      <c r="E67" s="1865"/>
      <c r="F67" s="1921"/>
    </row>
    <row r="68" spans="2:6">
      <c r="B68" s="3365" t="s">
        <v>395</v>
      </c>
      <c r="C68" s="3360"/>
      <c r="D68" s="3360"/>
      <c r="E68" s="3360"/>
      <c r="F68" s="3360"/>
    </row>
    <row r="69" spans="2:6">
      <c r="B69" s="3365"/>
      <c r="C69" s="3361"/>
      <c r="D69" s="3361"/>
      <c r="E69" s="3361"/>
      <c r="F69" s="3361"/>
    </row>
    <row r="70" spans="2:6">
      <c r="B70" s="3365"/>
      <c r="C70" s="3361"/>
      <c r="D70" s="3361"/>
      <c r="E70" s="3361"/>
      <c r="F70" s="3361"/>
    </row>
    <row r="71" spans="2:6">
      <c r="B71" s="3365"/>
      <c r="C71" s="3362"/>
      <c r="D71" s="3362"/>
      <c r="E71" s="3362"/>
      <c r="F71" s="3362"/>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9DA9" sheet="1" objects="1" scenarios="1"/>
  <mergeCells count="10">
    <mergeCell ref="B4:C4"/>
    <mergeCell ref="B5:B7"/>
    <mergeCell ref="B10:B33"/>
    <mergeCell ref="B48:B55"/>
    <mergeCell ref="E68:E71"/>
    <mergeCell ref="F68:F71"/>
    <mergeCell ref="B58:B65"/>
    <mergeCell ref="B68:B71"/>
    <mergeCell ref="C68:C71"/>
    <mergeCell ref="D68:D71"/>
  </mergeCells>
  <phoneticPr fontId="21"/>
  <printOptions horizontalCentered="1"/>
  <pageMargins left="0.59055118110236227" right="0.59055118110236227" top="0.78740157480314965" bottom="0.7" header="0.51181102362204722" footer="0.51181102362204722"/>
  <pageSetup paperSize="9" scale="69"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175"/>
  <sheetViews>
    <sheetView showGridLines="0" zoomScaleNormal="100" workbookViewId="0"/>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858" t="s">
        <v>193</v>
      </c>
      <c r="C2" s="1859"/>
      <c r="D2" s="1859"/>
      <c r="E2" s="1521" t="s">
        <v>2952</v>
      </c>
      <c r="F2" s="1522" t="str">
        <f>メイン!C11</f>
        <v>○○ビル</v>
      </c>
    </row>
    <row r="3" spans="2:6" ht="15.75" customHeight="1">
      <c r="F3" s="1860" t="str">
        <f>メイン!C5</f>
        <v>CASBEE_Nagoya_2014(v.1.22)</v>
      </c>
    </row>
    <row r="4" spans="2:6">
      <c r="B4" s="3366" t="s">
        <v>2347</v>
      </c>
      <c r="C4" s="3367"/>
      <c r="D4" s="1861" t="s">
        <v>2873</v>
      </c>
      <c r="E4" s="1862" t="s">
        <v>2616</v>
      </c>
      <c r="F4" s="1862" t="s">
        <v>1440</v>
      </c>
    </row>
    <row r="5" spans="2:6" ht="27" customHeight="1">
      <c r="B5" s="1863" t="s">
        <v>2874</v>
      </c>
      <c r="C5" s="1862" t="s">
        <v>1940</v>
      </c>
      <c r="D5" s="1861" t="str">
        <f>メイン!C21</f>
        <v>事務所,</v>
      </c>
      <c r="E5" s="1861" t="str">
        <f>D5</f>
        <v>事務所,</v>
      </c>
      <c r="F5" s="1957"/>
    </row>
    <row r="6" spans="2:6">
      <c r="B6" s="1917"/>
      <c r="C6" s="1862" t="s">
        <v>2875</v>
      </c>
      <c r="D6" s="1864">
        <f>メイン!C19</f>
        <v>3000</v>
      </c>
      <c r="E6" s="1864">
        <f>D6</f>
        <v>3000</v>
      </c>
      <c r="F6" s="1958"/>
    </row>
    <row r="7" spans="2:6">
      <c r="B7" s="1921"/>
      <c r="C7" s="1862" t="s">
        <v>2876</v>
      </c>
      <c r="D7" s="1862" t="str">
        <f>メイン!C23</f>
        <v>RC造</v>
      </c>
      <c r="E7" s="1862" t="str">
        <f>D7</f>
        <v>RC造</v>
      </c>
      <c r="F7" s="1958"/>
    </row>
    <row r="8" spans="2:6" ht="31.5" customHeight="1">
      <c r="B8" s="1861" t="s">
        <v>2877</v>
      </c>
      <c r="C8" s="1866" t="s">
        <v>2878</v>
      </c>
      <c r="D8" s="1959"/>
      <c r="E8" s="1959"/>
      <c r="F8" s="1960"/>
    </row>
    <row r="9" spans="2:6" ht="19.5" customHeight="1">
      <c r="B9" s="1869"/>
      <c r="C9" s="1866" t="s">
        <v>356</v>
      </c>
      <c r="D9" s="1961">
        <v>30</v>
      </c>
      <c r="E9" s="1961">
        <v>30</v>
      </c>
      <c r="F9" s="1960" t="s">
        <v>2879</v>
      </c>
    </row>
    <row r="10" spans="2:6" ht="29.25" customHeight="1">
      <c r="B10" s="3363" t="s">
        <v>1728</v>
      </c>
      <c r="C10" s="1861" t="s">
        <v>1729</v>
      </c>
      <c r="D10" s="1962"/>
      <c r="E10" s="1963"/>
      <c r="F10" s="1958"/>
    </row>
    <row r="11" spans="2:6" ht="29.25" customHeight="1">
      <c r="B11" s="3363"/>
      <c r="C11" s="1861" t="s">
        <v>1731</v>
      </c>
      <c r="D11" s="1962"/>
      <c r="E11" s="1964"/>
      <c r="F11" s="1958"/>
    </row>
    <row r="12" spans="2:6" ht="29.25" customHeight="1">
      <c r="B12" s="3363"/>
      <c r="C12" s="1861" t="s">
        <v>194</v>
      </c>
      <c r="D12" s="1962"/>
      <c r="E12" s="1964"/>
      <c r="F12" s="1960"/>
    </row>
    <row r="13" spans="2:6">
      <c r="B13" s="3363"/>
      <c r="C13" s="1879" t="s">
        <v>2621</v>
      </c>
      <c r="D13" s="1880"/>
      <c r="E13" s="1881"/>
      <c r="F13" s="1882"/>
    </row>
    <row r="14" spans="2:6" ht="14.25">
      <c r="B14" s="3363"/>
      <c r="C14" s="1937" t="s">
        <v>2624</v>
      </c>
      <c r="D14" s="1965" t="s">
        <v>195</v>
      </c>
      <c r="E14" s="1966" t="s">
        <v>196</v>
      </c>
      <c r="F14" s="1967" t="s">
        <v>588</v>
      </c>
    </row>
    <row r="15" spans="2:6" ht="14.25">
      <c r="B15" s="3363"/>
      <c r="C15" s="1968" t="s">
        <v>2626</v>
      </c>
      <c r="D15" s="1969" t="s">
        <v>197</v>
      </c>
      <c r="E15" s="1970" t="s">
        <v>1726</v>
      </c>
      <c r="F15" s="1971" t="s">
        <v>588</v>
      </c>
    </row>
    <row r="16" spans="2:6">
      <c r="B16" s="3363"/>
      <c r="C16" s="1887" t="s">
        <v>2627</v>
      </c>
      <c r="D16" s="1969" t="s">
        <v>590</v>
      </c>
      <c r="E16" s="1970" t="s">
        <v>1726</v>
      </c>
      <c r="F16" s="1972" t="s">
        <v>2628</v>
      </c>
    </row>
    <row r="17" spans="2:6">
      <c r="B17" s="3363"/>
      <c r="C17" s="1887" t="s">
        <v>2629</v>
      </c>
      <c r="D17" s="1969" t="s">
        <v>198</v>
      </c>
      <c r="E17" s="1970" t="s">
        <v>1726</v>
      </c>
      <c r="F17" s="1972" t="s">
        <v>2628</v>
      </c>
    </row>
    <row r="18" spans="2:6">
      <c r="B18" s="3363"/>
      <c r="C18" s="1887" t="s">
        <v>2630</v>
      </c>
      <c r="D18" s="1969" t="s">
        <v>590</v>
      </c>
      <c r="E18" s="1970" t="s">
        <v>1726</v>
      </c>
      <c r="F18" s="1972" t="s">
        <v>2628</v>
      </c>
    </row>
    <row r="19" spans="2:6">
      <c r="B19" s="3363"/>
      <c r="C19" s="1969" t="s">
        <v>589</v>
      </c>
      <c r="D19" s="1969" t="s">
        <v>590</v>
      </c>
      <c r="E19" s="1970" t="s">
        <v>596</v>
      </c>
      <c r="F19" s="1972" t="s">
        <v>2628</v>
      </c>
    </row>
    <row r="20" spans="2:6">
      <c r="B20" s="3363"/>
      <c r="C20" s="1973" t="s">
        <v>589</v>
      </c>
      <c r="D20" s="1973" t="s">
        <v>590</v>
      </c>
      <c r="E20" s="1974" t="s">
        <v>1726</v>
      </c>
      <c r="F20" s="1975" t="s">
        <v>2938</v>
      </c>
    </row>
    <row r="21" spans="2:6">
      <c r="B21" s="3364"/>
      <c r="C21" s="1879" t="s">
        <v>1727</v>
      </c>
      <c r="D21" s="1880"/>
      <c r="E21" s="1881"/>
      <c r="F21" s="1882"/>
    </row>
    <row r="22" spans="2:6" ht="15">
      <c r="B22" s="3363"/>
      <c r="C22" s="1883" t="s">
        <v>2624</v>
      </c>
      <c r="D22" s="1976" t="s">
        <v>195</v>
      </c>
      <c r="E22" s="1977" t="s">
        <v>196</v>
      </c>
      <c r="F22" s="1971" t="s">
        <v>592</v>
      </c>
    </row>
    <row r="23" spans="2:6" ht="15">
      <c r="B23" s="3363"/>
      <c r="C23" s="1968" t="s">
        <v>2626</v>
      </c>
      <c r="D23" s="1969" t="s">
        <v>197</v>
      </c>
      <c r="E23" s="1970" t="s">
        <v>1726</v>
      </c>
      <c r="F23" s="1972" t="s">
        <v>592</v>
      </c>
    </row>
    <row r="24" spans="2:6" ht="14.25">
      <c r="B24" s="3363"/>
      <c r="C24" s="1887" t="s">
        <v>2627</v>
      </c>
      <c r="D24" s="1969" t="s">
        <v>590</v>
      </c>
      <c r="E24" s="1970" t="s">
        <v>1726</v>
      </c>
      <c r="F24" s="1972" t="s">
        <v>593</v>
      </c>
    </row>
    <row r="25" spans="2:6" ht="14.25">
      <c r="B25" s="3363"/>
      <c r="C25" s="1887" t="s">
        <v>2629</v>
      </c>
      <c r="D25" s="1969" t="s">
        <v>198</v>
      </c>
      <c r="E25" s="1970" t="s">
        <v>1726</v>
      </c>
      <c r="F25" s="1972" t="s">
        <v>594</v>
      </c>
    </row>
    <row r="26" spans="2:6" ht="14.25">
      <c r="B26" s="3363"/>
      <c r="C26" s="1887" t="s">
        <v>2630</v>
      </c>
      <c r="D26" s="1969" t="s">
        <v>590</v>
      </c>
      <c r="E26" s="1970" t="s">
        <v>1726</v>
      </c>
      <c r="F26" s="1972" t="s">
        <v>593</v>
      </c>
    </row>
    <row r="27" spans="2:6" ht="14.25">
      <c r="B27" s="3363"/>
      <c r="C27" s="1978" t="s">
        <v>770</v>
      </c>
      <c r="D27" s="1969" t="s">
        <v>590</v>
      </c>
      <c r="E27" s="1970" t="s">
        <v>596</v>
      </c>
      <c r="F27" s="1972" t="s">
        <v>595</v>
      </c>
    </row>
    <row r="28" spans="2:6" ht="14.25">
      <c r="B28" s="3363"/>
      <c r="C28" s="1973" t="s">
        <v>589</v>
      </c>
      <c r="D28" s="1973" t="s">
        <v>590</v>
      </c>
      <c r="E28" s="1974" t="s">
        <v>1726</v>
      </c>
      <c r="F28" s="1972" t="s">
        <v>593</v>
      </c>
    </row>
    <row r="29" spans="2:6">
      <c r="B29" s="3364"/>
      <c r="C29" s="1879" t="s">
        <v>311</v>
      </c>
      <c r="D29" s="1880"/>
      <c r="E29" s="1881"/>
      <c r="F29" s="1924"/>
    </row>
    <row r="30" spans="2:6" ht="29.25" customHeight="1">
      <c r="B30" s="3363"/>
      <c r="C30" s="1883" t="s">
        <v>312</v>
      </c>
      <c r="D30" s="1979" t="s">
        <v>199</v>
      </c>
      <c r="E30" s="1979" t="s">
        <v>199</v>
      </c>
      <c r="F30" s="1980"/>
    </row>
    <row r="31" spans="2:6" ht="29.25" customHeight="1">
      <c r="B31" s="3363"/>
      <c r="C31" s="1883" t="s">
        <v>313</v>
      </c>
      <c r="D31" s="1979" t="s">
        <v>200</v>
      </c>
      <c r="E31" s="1979" t="s">
        <v>200</v>
      </c>
      <c r="F31" s="1980"/>
    </row>
    <row r="32" spans="2:6" ht="24" customHeight="1">
      <c r="B32" s="3363"/>
      <c r="C32" s="1887" t="s">
        <v>314</v>
      </c>
      <c r="D32" s="1979" t="s">
        <v>201</v>
      </c>
      <c r="E32" s="1979" t="s">
        <v>201</v>
      </c>
      <c r="F32" s="1981"/>
    </row>
    <row r="33" spans="2:6" ht="24" customHeight="1">
      <c r="B33" s="3363"/>
      <c r="C33" s="1904" t="s">
        <v>315</v>
      </c>
      <c r="D33" s="1982" t="s">
        <v>201</v>
      </c>
      <c r="E33" s="1982" t="s">
        <v>201</v>
      </c>
      <c r="F33" s="1983"/>
    </row>
    <row r="34" spans="2:6" ht="19.5" customHeight="1">
      <c r="B34" s="1863"/>
      <c r="C34" s="1907" t="s">
        <v>356</v>
      </c>
      <c r="D34" s="1984">
        <v>10</v>
      </c>
      <c r="E34" s="1984">
        <v>10</v>
      </c>
      <c r="F34" s="1960" t="s">
        <v>2879</v>
      </c>
    </row>
    <row r="35" spans="2:6">
      <c r="B35" s="1878" t="s">
        <v>202</v>
      </c>
      <c r="C35" s="1910" t="s">
        <v>316</v>
      </c>
      <c r="D35" s="1911"/>
      <c r="E35" s="1911"/>
      <c r="F35" s="1882"/>
    </row>
    <row r="36" spans="2:6">
      <c r="B36" s="1869" t="s">
        <v>598</v>
      </c>
      <c r="C36" s="1912" t="s">
        <v>2866</v>
      </c>
      <c r="D36" s="1985"/>
      <c r="E36" s="1985"/>
      <c r="F36" s="1986"/>
    </row>
    <row r="37" spans="2:6" hidden="1">
      <c r="B37" s="1869"/>
      <c r="C37" s="1912" t="s">
        <v>2868</v>
      </c>
      <c r="D37" s="1985"/>
      <c r="E37" s="1985"/>
      <c r="F37" s="1960"/>
    </row>
    <row r="38" spans="2:6">
      <c r="B38" s="1869"/>
      <c r="C38" s="1866" t="s">
        <v>2869</v>
      </c>
      <c r="D38" s="1959"/>
      <c r="E38" s="1959"/>
      <c r="F38" s="1960"/>
    </row>
    <row r="39" spans="2:6">
      <c r="B39" s="1869"/>
      <c r="C39" s="1907" t="s">
        <v>2870</v>
      </c>
      <c r="D39" s="1987"/>
      <c r="E39" s="1987"/>
      <c r="F39" s="1988"/>
    </row>
    <row r="40" spans="2:6">
      <c r="B40" s="1878"/>
      <c r="C40" s="1910" t="s">
        <v>317</v>
      </c>
      <c r="D40" s="1911"/>
      <c r="E40" s="1911"/>
      <c r="F40" s="1882"/>
    </row>
    <row r="41" spans="2:6">
      <c r="B41" s="1869"/>
      <c r="C41" s="1912" t="s">
        <v>2866</v>
      </c>
      <c r="D41" s="1989"/>
      <c r="E41" s="1989"/>
      <c r="F41" s="1956"/>
    </row>
    <row r="42" spans="2:6">
      <c r="B42" s="1869"/>
      <c r="C42" s="1866" t="s">
        <v>2869</v>
      </c>
      <c r="D42" s="1990"/>
      <c r="E42" s="1990"/>
      <c r="F42" s="1958"/>
    </row>
    <row r="43" spans="2:6">
      <c r="B43" s="1869"/>
      <c r="C43" s="1866" t="s">
        <v>2870</v>
      </c>
      <c r="D43" s="1990"/>
      <c r="E43" s="1990"/>
      <c r="F43" s="1958"/>
    </row>
    <row r="44" spans="2:6" ht="29.25" customHeight="1">
      <c r="B44" s="1922"/>
      <c r="C44" s="1866" t="s">
        <v>714</v>
      </c>
      <c r="D44" s="1962"/>
      <c r="E44" s="1991"/>
      <c r="F44" s="1958"/>
    </row>
    <row r="45" spans="2:6">
      <c r="B45" s="1863"/>
      <c r="C45" s="1910" t="s">
        <v>356</v>
      </c>
      <c r="D45" s="1880"/>
      <c r="E45" s="1923"/>
      <c r="F45" s="1924"/>
    </row>
    <row r="46" spans="2:6" ht="29.25" customHeight="1">
      <c r="B46" s="1869"/>
      <c r="C46" s="1883" t="s">
        <v>599</v>
      </c>
      <c r="D46" s="1961">
        <v>30</v>
      </c>
      <c r="E46" s="1961">
        <v>20</v>
      </c>
      <c r="F46" s="1894" t="s">
        <v>2879</v>
      </c>
    </row>
    <row r="47" spans="2:6" ht="29.25" customHeight="1">
      <c r="B47" s="1869"/>
      <c r="C47" s="1883" t="s">
        <v>203</v>
      </c>
      <c r="D47" s="1925" t="s">
        <v>204</v>
      </c>
      <c r="E47" s="1992">
        <v>-15</v>
      </c>
      <c r="F47" s="1894" t="s">
        <v>2879</v>
      </c>
    </row>
    <row r="48" spans="2:6" ht="18.75" customHeight="1">
      <c r="B48" s="1869" t="s">
        <v>717</v>
      </c>
      <c r="C48" s="1993" t="s">
        <v>718</v>
      </c>
      <c r="D48" s="1927" t="s">
        <v>1222</v>
      </c>
      <c r="E48" s="1994"/>
      <c r="F48" s="1972"/>
    </row>
    <row r="49" spans="2:6" ht="18.75" customHeight="1">
      <c r="B49" s="1869"/>
      <c r="C49" s="1993"/>
      <c r="D49" s="1930" t="s">
        <v>1223</v>
      </c>
      <c r="E49" s="1995"/>
      <c r="F49" s="1972"/>
    </row>
    <row r="50" spans="2:6" ht="18.75" customHeight="1">
      <c r="B50" s="1869"/>
      <c r="C50" s="1993"/>
      <c r="D50" s="1931" t="s">
        <v>1224</v>
      </c>
      <c r="E50" s="1994"/>
      <c r="F50" s="1972"/>
    </row>
    <row r="51" spans="2:6" ht="18.75" customHeight="1">
      <c r="B51" s="1869"/>
      <c r="C51" s="1922"/>
      <c r="D51" s="1934" t="s">
        <v>1225</v>
      </c>
      <c r="E51" s="1996"/>
      <c r="F51" s="1997"/>
    </row>
    <row r="52" spans="2:6" ht="30.75" customHeight="1">
      <c r="B52" s="1869"/>
      <c r="C52" s="1993" t="s">
        <v>606</v>
      </c>
      <c r="D52" s="1938" t="s">
        <v>605</v>
      </c>
      <c r="E52" s="1995">
        <v>-25</v>
      </c>
      <c r="F52" s="1939" t="s">
        <v>2879</v>
      </c>
    </row>
    <row r="53" spans="2:6" ht="29.25" customHeight="1">
      <c r="B53" s="1869"/>
      <c r="C53" s="1892" t="s">
        <v>718</v>
      </c>
      <c r="D53" s="1940" t="s">
        <v>2417</v>
      </c>
      <c r="E53" s="1994"/>
      <c r="F53" s="1972"/>
    </row>
    <row r="54" spans="2:6" ht="29.25" customHeight="1">
      <c r="B54" s="1869"/>
      <c r="C54" s="1869"/>
      <c r="D54" s="1940" t="s">
        <v>873</v>
      </c>
      <c r="E54" s="1994"/>
      <c r="F54" s="1972"/>
    </row>
    <row r="55" spans="2:6" ht="24" customHeight="1">
      <c r="B55" s="1869"/>
      <c r="C55" s="1869"/>
      <c r="D55" s="1940" t="s">
        <v>874</v>
      </c>
      <c r="E55" s="1994"/>
      <c r="F55" s="1972"/>
    </row>
    <row r="56" spans="2:6" ht="29.25" customHeight="1">
      <c r="B56" s="1869"/>
      <c r="C56" s="1869"/>
      <c r="D56" s="1940" t="s">
        <v>875</v>
      </c>
      <c r="E56" s="1994"/>
      <c r="F56" s="1972"/>
    </row>
    <row r="57" spans="2:6" ht="30" hidden="1" customHeight="1">
      <c r="B57" s="1869"/>
      <c r="C57" s="1922"/>
      <c r="D57" s="1942"/>
      <c r="E57" s="1994">
        <f>E80</f>
        <v>0</v>
      </c>
      <c r="F57" s="1972" t="s">
        <v>2879</v>
      </c>
    </row>
    <row r="58" spans="2:6" ht="42.75" customHeight="1">
      <c r="B58" s="1906"/>
      <c r="C58" s="1866" t="s">
        <v>1226</v>
      </c>
      <c r="D58" s="1962" t="s">
        <v>876</v>
      </c>
      <c r="E58" s="1962" t="s">
        <v>876</v>
      </c>
      <c r="F58" s="1958"/>
    </row>
    <row r="59" spans="2:6" ht="18.75" customHeight="1">
      <c r="B59" s="1906"/>
      <c r="C59" s="1907" t="s">
        <v>487</v>
      </c>
      <c r="D59" s="1998" t="s">
        <v>877</v>
      </c>
      <c r="E59" s="1998" t="s">
        <v>877</v>
      </c>
      <c r="F59" s="1999" t="s">
        <v>3125</v>
      </c>
    </row>
    <row r="60" spans="2:6">
      <c r="B60" s="1906"/>
      <c r="C60" s="1945" t="s">
        <v>1116</v>
      </c>
      <c r="D60" s="1911"/>
      <c r="E60" s="1911"/>
      <c r="F60" s="1924"/>
    </row>
    <row r="61" spans="2:6">
      <c r="B61" s="1906"/>
      <c r="C61" s="1946" t="s">
        <v>3007</v>
      </c>
      <c r="D61" s="2000" t="s">
        <v>878</v>
      </c>
      <c r="E61" s="2000" t="s">
        <v>716</v>
      </c>
      <c r="F61" s="1971" t="s">
        <v>189</v>
      </c>
    </row>
    <row r="62" spans="2:6" ht="14.25">
      <c r="B62" s="1906"/>
      <c r="C62" s="1946" t="s">
        <v>3008</v>
      </c>
      <c r="D62" s="2001" t="s">
        <v>878</v>
      </c>
      <c r="E62" s="2001" t="s">
        <v>716</v>
      </c>
      <c r="F62" s="1972" t="s">
        <v>192</v>
      </c>
    </row>
    <row r="63" spans="2:6">
      <c r="B63" s="1906"/>
      <c r="C63" s="1949" t="s">
        <v>2942</v>
      </c>
      <c r="D63" s="2001" t="s">
        <v>878</v>
      </c>
      <c r="E63" s="2001" t="s">
        <v>716</v>
      </c>
      <c r="F63" s="1972" t="s">
        <v>190</v>
      </c>
    </row>
    <row r="64" spans="2:6" ht="14.25">
      <c r="B64" s="1906"/>
      <c r="C64" s="1949" t="s">
        <v>191</v>
      </c>
      <c r="D64" s="2001" t="s">
        <v>879</v>
      </c>
      <c r="E64" s="2001" t="s">
        <v>716</v>
      </c>
      <c r="F64" s="1972" t="s">
        <v>192</v>
      </c>
    </row>
    <row r="65" spans="2:6" ht="24">
      <c r="B65" s="1906"/>
      <c r="C65" s="2002" t="s">
        <v>2936</v>
      </c>
      <c r="D65" s="2003" t="s">
        <v>337</v>
      </c>
      <c r="E65" s="2003" t="s">
        <v>716</v>
      </c>
      <c r="F65" s="1997" t="s">
        <v>192</v>
      </c>
    </row>
    <row r="66" spans="2:6">
      <c r="B66" s="1869"/>
      <c r="C66" s="1954" t="s">
        <v>2937</v>
      </c>
      <c r="D66" s="1955"/>
      <c r="E66" s="1955"/>
      <c r="F66" s="1956"/>
    </row>
    <row r="67" spans="2:6">
      <c r="B67" s="1869"/>
      <c r="C67" s="1912"/>
      <c r="D67" s="1955"/>
      <c r="E67" s="1955"/>
      <c r="F67" s="1956"/>
    </row>
    <row r="68" spans="2:6">
      <c r="B68" s="3365" t="s">
        <v>395</v>
      </c>
      <c r="C68" s="3360"/>
      <c r="D68" s="3360"/>
      <c r="E68" s="3360"/>
      <c r="F68" s="3360"/>
    </row>
    <row r="69" spans="2:6">
      <c r="B69" s="3365"/>
      <c r="C69" s="3361"/>
      <c r="D69" s="3361"/>
      <c r="E69" s="3361"/>
      <c r="F69" s="3361"/>
    </row>
    <row r="70" spans="2:6">
      <c r="B70" s="3365"/>
      <c r="C70" s="3361"/>
      <c r="D70" s="3361"/>
      <c r="E70" s="3361"/>
      <c r="F70" s="3361"/>
    </row>
    <row r="71" spans="2:6">
      <c r="B71" s="3365"/>
      <c r="C71" s="3362"/>
      <c r="D71" s="3362"/>
      <c r="E71" s="3362"/>
      <c r="F71" s="3362"/>
    </row>
    <row r="72" spans="2:6"/>
    <row r="73" spans="2:6">
      <c r="B73" t="s">
        <v>771</v>
      </c>
    </row>
    <row r="74" spans="2:6">
      <c r="B74" s="1863"/>
      <c r="C74" s="1879" t="s">
        <v>799</v>
      </c>
      <c r="D74" s="1880"/>
      <c r="E74" s="1881"/>
      <c r="F74" s="1895"/>
    </row>
    <row r="75" spans="2:6">
      <c r="B75" s="1869"/>
      <c r="C75" s="1892" t="s">
        <v>798</v>
      </c>
      <c r="D75" s="1888" t="s">
        <v>880</v>
      </c>
      <c r="E75" s="2004">
        <f>(計画書!I43+計画書!M43+計画書!N43)/CO2データ!J96*1000</f>
        <v>0</v>
      </c>
      <c r="F75" s="1891" t="s">
        <v>881</v>
      </c>
    </row>
    <row r="76" spans="2:6">
      <c r="B76" s="1869" t="s">
        <v>803</v>
      </c>
      <c r="C76" s="1869"/>
      <c r="D76" s="1888" t="s">
        <v>882</v>
      </c>
      <c r="E76" s="2004">
        <f>-((計画書!I41-計画書!I42)+(計画書!M41-計画書!M42)+(計画書!N41-計画書!N42))/CO2データ!J96*1000</f>
        <v>0</v>
      </c>
      <c r="F76" s="1891" t="s">
        <v>883</v>
      </c>
    </row>
    <row r="77" spans="2:6">
      <c r="B77" s="1869" t="s">
        <v>884</v>
      </c>
      <c r="C77" s="1883"/>
      <c r="D77" s="1888" t="s">
        <v>885</v>
      </c>
      <c r="E77" s="2004">
        <f>E75-E76</f>
        <v>0</v>
      </c>
      <c r="F77" s="1891" t="s">
        <v>883</v>
      </c>
    </row>
    <row r="78" spans="2:6">
      <c r="B78" s="1869"/>
      <c r="C78" s="1892" t="s">
        <v>2506</v>
      </c>
      <c r="D78" s="1888" t="s">
        <v>2284</v>
      </c>
      <c r="E78" s="1889">
        <f>E75*E81/E$6</f>
        <v>0</v>
      </c>
      <c r="F78" s="2005" t="s">
        <v>2879</v>
      </c>
    </row>
    <row r="79" spans="2:6">
      <c r="B79" s="1869"/>
      <c r="C79" s="1869"/>
      <c r="D79" s="1888" t="s">
        <v>882</v>
      </c>
      <c r="E79" s="1889">
        <f>E78-E80</f>
        <v>0</v>
      </c>
      <c r="F79" s="2005" t="s">
        <v>2879</v>
      </c>
    </row>
    <row r="80" spans="2:6">
      <c r="B80" s="1869"/>
      <c r="C80" s="1883"/>
      <c r="D80" s="1888" t="s">
        <v>885</v>
      </c>
      <c r="E80" s="1889">
        <f>E77*E82/E$6</f>
        <v>0</v>
      </c>
      <c r="F80" s="2005" t="s">
        <v>2879</v>
      </c>
    </row>
    <row r="81" spans="2:6" hidden="1">
      <c r="B81" s="1869"/>
      <c r="C81" s="1892" t="s">
        <v>2507</v>
      </c>
      <c r="D81" s="1888" t="s">
        <v>2285</v>
      </c>
      <c r="E81" s="2006">
        <f>CO2データ!I95</f>
        <v>0.51600000000000001</v>
      </c>
      <c r="F81" s="2005" t="s">
        <v>1170</v>
      </c>
    </row>
    <row r="82" spans="2:6" hidden="1">
      <c r="B82" s="1869"/>
      <c r="C82" s="1869"/>
      <c r="D82" s="1888" t="s">
        <v>1171</v>
      </c>
      <c r="E82" s="2006">
        <f>CO2データ!I95</f>
        <v>0.51600000000000001</v>
      </c>
      <c r="F82" s="2005" t="s">
        <v>1170</v>
      </c>
    </row>
    <row r="83" spans="2:6" hidden="1">
      <c r="B83" s="1869"/>
      <c r="C83" s="1883"/>
      <c r="D83" s="1888" t="s">
        <v>1440</v>
      </c>
      <c r="E83" s="1889" t="s">
        <v>1291</v>
      </c>
      <c r="F83" s="1891"/>
    </row>
    <row r="84" spans="2:6">
      <c r="B84" s="1869"/>
      <c r="C84" s="1879" t="s">
        <v>1292</v>
      </c>
      <c r="D84" s="1880"/>
      <c r="E84" s="1881"/>
      <c r="F84" s="1895"/>
    </row>
    <row r="85" spans="2:6">
      <c r="B85" s="1869"/>
      <c r="C85" s="2007" t="s">
        <v>2316</v>
      </c>
      <c r="D85" s="1884"/>
      <c r="E85" s="2008" t="e">
        <f>CO2計算!I125*計画書!T74+CO2計算!I127*CO2データ!N169+CO2計算!I126*CO2データ!N168</f>
        <v>#VALUE!</v>
      </c>
      <c r="F85" s="1890" t="s">
        <v>881</v>
      </c>
    </row>
    <row r="86" spans="2:6">
      <c r="B86" s="1869"/>
      <c r="C86" s="1892" t="s">
        <v>1885</v>
      </c>
      <c r="D86" s="1888" t="s">
        <v>1293</v>
      </c>
      <c r="E86" s="2006">
        <f>係数!D5*1000</f>
        <v>0.51600000000000001</v>
      </c>
      <c r="F86" s="2005" t="s">
        <v>2317</v>
      </c>
    </row>
    <row r="87" spans="2:6">
      <c r="B87" s="1869"/>
      <c r="C87" s="1883"/>
      <c r="D87" s="1888" t="s">
        <v>1189</v>
      </c>
      <c r="E87" s="2006">
        <f>係数!J50*1000</f>
        <v>0.373</v>
      </c>
      <c r="F87" s="2005" t="s">
        <v>1170</v>
      </c>
    </row>
    <row r="88" spans="2:6">
      <c r="B88" s="1869"/>
      <c r="C88" s="1892" t="s">
        <v>2318</v>
      </c>
      <c r="D88" s="2009" t="s">
        <v>2834</v>
      </c>
      <c r="E88" s="2010" t="e">
        <f>E85*(E86-E87)</f>
        <v>#VALUE!</v>
      </c>
      <c r="F88" s="2005" t="s">
        <v>488</v>
      </c>
    </row>
    <row r="89" spans="2:6">
      <c r="B89" s="1922"/>
      <c r="C89" s="1922"/>
      <c r="D89" s="2011" t="s">
        <v>1294</v>
      </c>
      <c r="E89" s="2012" t="e">
        <f>E88/E6</f>
        <v>#VALUE!</v>
      </c>
      <c r="F89" s="1953" t="s">
        <v>2879</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9DA9" sheet="1" objects="1" scenarios="1"/>
  <mergeCells count="7">
    <mergeCell ref="D68:D71"/>
    <mergeCell ref="E68:E71"/>
    <mergeCell ref="F68:F71"/>
    <mergeCell ref="B4:C4"/>
    <mergeCell ref="B10:B33"/>
    <mergeCell ref="B68:B71"/>
    <mergeCell ref="C68:C71"/>
  </mergeCells>
  <phoneticPr fontId="21"/>
  <printOptions horizontalCentered="1"/>
  <pageMargins left="0.59055118110236227" right="0.59055118110236227" top="0.78740157480314965" bottom="0.59055118110236227" header="0.51181102362204722" footer="0.51181102362204722"/>
  <pageSetup paperSize="9" scale="64" fitToHeight="2" orientation="portrait" verticalDpi="300" r:id="rId1"/>
  <headerFooter alignWithMargins="0">
    <oddHeader>&amp;L&amp;F&amp;R&amp;A</oddHeader>
    <oddFooter>&amp;C&amp;P/&amp;N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0"/>
  <sheetViews>
    <sheetView showGridLines="0" zoomScaleNormal="100" zoomScaleSheetLayoutView="100" workbookViewId="0"/>
  </sheetViews>
  <sheetFormatPr defaultColWidth="0" defaultRowHeight="13.5" zeroHeight="1"/>
  <cols>
    <col min="1" max="2" width="1.5" customWidth="1"/>
    <col min="3" max="3" width="5.375" customWidth="1"/>
    <col min="4" max="4" width="11" customWidth="1"/>
    <col min="5" max="5" width="12.875" customWidth="1"/>
    <col min="6" max="6" width="8.375" customWidth="1"/>
    <col min="7" max="8" width="7.625" hidden="1" customWidth="1"/>
    <col min="9" max="18" width="11.25" customWidth="1"/>
    <col min="19" max="19" width="10" hidden="1" customWidth="1"/>
    <col min="20" max="20" width="20" hidden="1" customWidth="1"/>
    <col min="21" max="26" width="12.75" hidden="1" customWidth="1"/>
    <col min="27" max="27" width="0" hidden="1" customWidth="1"/>
    <col min="28" max="16384" width="9" hidden="1"/>
  </cols>
  <sheetData>
    <row r="1" spans="2:17" ht="14.25">
      <c r="B1" s="1786" t="s">
        <v>575</v>
      </c>
    </row>
    <row r="2" spans="2:17" ht="4.5" customHeight="1"/>
    <row r="3" spans="2:17">
      <c r="C3" s="1787" t="s">
        <v>3060</v>
      </c>
      <c r="D3" s="1788"/>
      <c r="E3" s="1789"/>
      <c r="F3" s="1789"/>
      <c r="G3" s="1789"/>
      <c r="H3" s="1789"/>
      <c r="I3" s="1790" t="s">
        <v>357</v>
      </c>
      <c r="J3" s="1791"/>
      <c r="K3" s="1791"/>
      <c r="L3" s="1792"/>
      <c r="M3" s="1792"/>
      <c r="N3" s="1792"/>
      <c r="O3" s="1792"/>
      <c r="P3" s="1792"/>
      <c r="Q3" s="1793"/>
    </row>
    <row r="4" spans="2:17">
      <c r="C4" s="1794"/>
      <c r="D4" s="1795" t="s">
        <v>3061</v>
      </c>
      <c r="E4" s="1794"/>
      <c r="F4" s="1794"/>
      <c r="G4" s="1794"/>
      <c r="H4" s="1794"/>
      <c r="I4" s="1796" t="s">
        <v>3062</v>
      </c>
      <c r="J4" s="1792" t="s">
        <v>851</v>
      </c>
      <c r="K4" s="1797"/>
      <c r="L4" s="1796" t="s">
        <v>848</v>
      </c>
      <c r="M4" s="1792"/>
      <c r="N4" s="1797"/>
      <c r="O4" s="1796" t="s">
        <v>850</v>
      </c>
      <c r="P4" s="1792"/>
      <c r="Q4" s="1797"/>
    </row>
    <row r="5" spans="2:17">
      <c r="C5" s="1798" t="s">
        <v>467</v>
      </c>
      <c r="D5" s="1799"/>
      <c r="E5" s="1800"/>
      <c r="F5" s="1801"/>
      <c r="G5" s="1802"/>
      <c r="H5" s="1802"/>
      <c r="I5" s="1803" t="s">
        <v>2517</v>
      </c>
      <c r="J5" s="1803" t="s">
        <v>2518</v>
      </c>
      <c r="K5" s="1803" t="s">
        <v>2519</v>
      </c>
      <c r="L5" s="1803" t="s">
        <v>2517</v>
      </c>
      <c r="M5" s="1803" t="s">
        <v>2518</v>
      </c>
      <c r="N5" s="1803" t="s">
        <v>2519</v>
      </c>
      <c r="O5" s="1803" t="s">
        <v>2517</v>
      </c>
      <c r="P5" s="1803" t="s">
        <v>2518</v>
      </c>
      <c r="Q5" s="1803" t="s">
        <v>2519</v>
      </c>
    </row>
    <row r="6" spans="2:17" hidden="1">
      <c r="C6" s="1804"/>
      <c r="D6" s="1805"/>
      <c r="E6" s="1804"/>
      <c r="F6" s="1804"/>
      <c r="G6" s="1806">
        <v>1</v>
      </c>
      <c r="H6" s="1806"/>
      <c r="I6" s="1802">
        <v>3</v>
      </c>
      <c r="J6" s="1802">
        <v>4</v>
      </c>
      <c r="K6" s="1802">
        <v>5</v>
      </c>
      <c r="L6" s="1802">
        <v>6</v>
      </c>
      <c r="M6" s="1802">
        <v>7</v>
      </c>
      <c r="N6" s="1802">
        <v>8</v>
      </c>
      <c r="O6" s="1802">
        <v>9</v>
      </c>
      <c r="P6" s="1802">
        <v>10</v>
      </c>
      <c r="Q6" s="1802">
        <v>11</v>
      </c>
    </row>
    <row r="7" spans="2:17">
      <c r="C7" s="1807" t="s">
        <v>512</v>
      </c>
      <c r="D7" s="1808"/>
      <c r="E7" s="1800"/>
      <c r="F7" s="1801"/>
      <c r="G7" s="1806">
        <v>10</v>
      </c>
      <c r="H7" s="1806"/>
      <c r="I7" s="1809">
        <v>14.004999999999999</v>
      </c>
      <c r="J7" s="1809">
        <v>14.004999999999999</v>
      </c>
      <c r="K7" s="1809">
        <v>14.004999999999999</v>
      </c>
      <c r="L7" s="1809">
        <v>13.23</v>
      </c>
      <c r="M7" s="1809">
        <v>13.23</v>
      </c>
      <c r="N7" s="1809">
        <v>13.23</v>
      </c>
      <c r="O7" s="1809">
        <v>13.998000000000001</v>
      </c>
      <c r="P7" s="1809">
        <v>13.998000000000001</v>
      </c>
      <c r="Q7" s="1809">
        <v>13.998000000000001</v>
      </c>
    </row>
    <row r="8" spans="2:17">
      <c r="C8" s="1810"/>
      <c r="D8" s="978" t="s">
        <v>2622</v>
      </c>
      <c r="E8" s="978"/>
      <c r="F8" s="1811">
        <v>1</v>
      </c>
      <c r="G8" s="1806">
        <v>11</v>
      </c>
      <c r="H8" s="1806"/>
      <c r="I8" s="1812">
        <v>6.4519999999999991</v>
      </c>
      <c r="J8" s="1812">
        <v>6.4519999999999991</v>
      </c>
      <c r="K8" s="1812">
        <v>6.4519999999999991</v>
      </c>
      <c r="L8" s="1812">
        <v>6.6009999999999991</v>
      </c>
      <c r="M8" s="1812">
        <v>6.6009999999999991</v>
      </c>
      <c r="N8" s="1812">
        <v>6.6009999999999991</v>
      </c>
      <c r="O8" s="1812">
        <v>6.5150000000000006</v>
      </c>
      <c r="P8" s="1812">
        <v>6.5150000000000006</v>
      </c>
      <c r="Q8" s="1812">
        <v>6.5150000000000006</v>
      </c>
    </row>
    <row r="9" spans="2:17">
      <c r="C9" s="1810"/>
      <c r="D9" s="978" t="s">
        <v>2623</v>
      </c>
      <c r="E9" s="978"/>
      <c r="F9" s="1811">
        <v>1</v>
      </c>
      <c r="G9" s="1813">
        <v>12</v>
      </c>
      <c r="H9" s="1813"/>
      <c r="I9" s="1812">
        <v>13.42</v>
      </c>
      <c r="J9" s="1812">
        <v>13.42</v>
      </c>
      <c r="K9" s="1812">
        <v>13.42</v>
      </c>
      <c r="L9" s="1812">
        <v>12.416</v>
      </c>
      <c r="M9" s="1812">
        <v>12.416</v>
      </c>
      <c r="N9" s="1812">
        <v>12.416</v>
      </c>
      <c r="O9" s="1812">
        <v>13.272</v>
      </c>
      <c r="P9" s="1812">
        <v>13.272</v>
      </c>
      <c r="Q9" s="1812">
        <v>13.272</v>
      </c>
    </row>
    <row r="10" spans="2:17" hidden="1">
      <c r="C10" s="1814"/>
      <c r="D10" s="1816" t="s">
        <v>3063</v>
      </c>
      <c r="E10" s="1816"/>
      <c r="F10" s="1817"/>
      <c r="G10" s="1818">
        <v>13</v>
      </c>
      <c r="H10" s="1818">
        <f>CO2計算!$F$21</f>
        <v>0</v>
      </c>
      <c r="I10" s="1812">
        <f>(I7-I8)*$H10</f>
        <v>0</v>
      </c>
      <c r="J10" s="1812">
        <f t="shared" ref="J10:Q10" si="0">(J7-J8)*$H10</f>
        <v>0</v>
      </c>
      <c r="K10" s="1812">
        <f t="shared" si="0"/>
        <v>0</v>
      </c>
      <c r="L10" s="1812">
        <f t="shared" si="0"/>
        <v>0</v>
      </c>
      <c r="M10" s="1812">
        <f t="shared" si="0"/>
        <v>0</v>
      </c>
      <c r="N10" s="1812">
        <f t="shared" si="0"/>
        <v>0</v>
      </c>
      <c r="O10" s="1812">
        <f t="shared" si="0"/>
        <v>0</v>
      </c>
      <c r="P10" s="1812">
        <f t="shared" si="0"/>
        <v>0</v>
      </c>
      <c r="Q10" s="1812">
        <f t="shared" si="0"/>
        <v>0</v>
      </c>
    </row>
    <row r="11" spans="2:17" hidden="1">
      <c r="C11" s="1814"/>
      <c r="D11" s="1816" t="s">
        <v>3064</v>
      </c>
      <c r="E11" s="1816"/>
      <c r="F11" s="1817"/>
      <c r="G11" s="1819">
        <v>14</v>
      </c>
      <c r="H11" s="1818">
        <f>CO2計算!$F$22</f>
        <v>0</v>
      </c>
      <c r="I11" s="1812">
        <f t="shared" ref="I11:Q11" si="1">(I7-I9)*$H11</f>
        <v>0</v>
      </c>
      <c r="J11" s="1812">
        <f t="shared" si="1"/>
        <v>0</v>
      </c>
      <c r="K11" s="1812">
        <f t="shared" si="1"/>
        <v>0</v>
      </c>
      <c r="L11" s="1812">
        <f t="shared" si="1"/>
        <v>0</v>
      </c>
      <c r="M11" s="1812">
        <f t="shared" si="1"/>
        <v>0</v>
      </c>
      <c r="N11" s="1812">
        <f t="shared" si="1"/>
        <v>0</v>
      </c>
      <c r="O11" s="1812">
        <f t="shared" si="1"/>
        <v>0</v>
      </c>
      <c r="P11" s="1812">
        <f t="shared" si="1"/>
        <v>0</v>
      </c>
      <c r="Q11" s="1812">
        <f t="shared" si="1"/>
        <v>0</v>
      </c>
    </row>
    <row r="12" spans="2:17" hidden="1">
      <c r="C12" s="1820"/>
      <c r="D12" s="1816" t="s">
        <v>530</v>
      </c>
      <c r="E12" s="1816"/>
      <c r="F12" s="1817"/>
      <c r="G12" s="1822">
        <v>15</v>
      </c>
      <c r="H12" s="1822"/>
      <c r="I12" s="1812">
        <f t="shared" ref="I12:Q12" si="2">I7-I10-I11</f>
        <v>14.004999999999999</v>
      </c>
      <c r="J12" s="1812">
        <f t="shared" si="2"/>
        <v>14.004999999999999</v>
      </c>
      <c r="K12" s="1812">
        <f t="shared" si="2"/>
        <v>14.004999999999999</v>
      </c>
      <c r="L12" s="1812">
        <f t="shared" si="2"/>
        <v>13.23</v>
      </c>
      <c r="M12" s="1812">
        <f t="shared" si="2"/>
        <v>13.23</v>
      </c>
      <c r="N12" s="1812">
        <f t="shared" si="2"/>
        <v>13.23</v>
      </c>
      <c r="O12" s="1812">
        <f t="shared" si="2"/>
        <v>13.998000000000001</v>
      </c>
      <c r="P12" s="1812">
        <f t="shared" si="2"/>
        <v>13.998000000000001</v>
      </c>
      <c r="Q12" s="1812">
        <f t="shared" si="2"/>
        <v>13.998000000000001</v>
      </c>
    </row>
    <row r="13" spans="2:17">
      <c r="C13" s="1807" t="s">
        <v>1918</v>
      </c>
      <c r="D13" s="1800"/>
      <c r="E13" s="1800"/>
      <c r="F13" s="1801"/>
      <c r="G13" s="1806">
        <f t="shared" ref="G13:G60" si="3">G7+10</f>
        <v>20</v>
      </c>
      <c r="H13" s="1806"/>
      <c r="I13" s="1809">
        <v>10.473000000000001</v>
      </c>
      <c r="J13" s="1809">
        <v>10.473000000000001</v>
      </c>
      <c r="K13" s="1809">
        <v>10.473000000000001</v>
      </c>
      <c r="L13" s="1809">
        <v>11.762999999999998</v>
      </c>
      <c r="M13" s="1809">
        <v>11.762999999999998</v>
      </c>
      <c r="N13" s="1809">
        <v>11.762999999999998</v>
      </c>
      <c r="O13" s="1809">
        <v>14.002000000000002</v>
      </c>
      <c r="P13" s="1809">
        <v>14.002000000000002</v>
      </c>
      <c r="Q13" s="1809">
        <v>14.002000000000002</v>
      </c>
    </row>
    <row r="14" spans="2:17">
      <c r="C14" s="1810"/>
      <c r="D14" s="978" t="s">
        <v>2622</v>
      </c>
      <c r="E14" s="978"/>
      <c r="F14" s="1811">
        <v>1</v>
      </c>
      <c r="G14" s="1806">
        <f t="shared" si="3"/>
        <v>21</v>
      </c>
      <c r="H14" s="1806"/>
      <c r="I14" s="1812">
        <v>5.2279999999999998</v>
      </c>
      <c r="J14" s="1812">
        <v>5.2279999999999998</v>
      </c>
      <c r="K14" s="1812">
        <v>5.2279999999999998</v>
      </c>
      <c r="L14" s="1812">
        <v>5.3689999999999998</v>
      </c>
      <c r="M14" s="1812">
        <v>5.3689999999999998</v>
      </c>
      <c r="N14" s="1812">
        <v>5.3689999999999998</v>
      </c>
      <c r="O14" s="1812">
        <v>5.2780000000000005</v>
      </c>
      <c r="P14" s="1812">
        <v>5.2780000000000005</v>
      </c>
      <c r="Q14" s="1812">
        <v>5.2780000000000005</v>
      </c>
    </row>
    <row r="15" spans="2:17">
      <c r="C15" s="1810"/>
      <c r="D15" s="978" t="s">
        <v>2623</v>
      </c>
      <c r="E15" s="978"/>
      <c r="F15" s="1811">
        <v>1</v>
      </c>
      <c r="G15" s="1806">
        <f t="shared" si="3"/>
        <v>22</v>
      </c>
      <c r="H15" s="1813"/>
      <c r="I15" s="1812">
        <v>10.11</v>
      </c>
      <c r="J15" s="1812">
        <v>10.11</v>
      </c>
      <c r="K15" s="1812">
        <v>10.11</v>
      </c>
      <c r="L15" s="1812">
        <v>10.846</v>
      </c>
      <c r="M15" s="1812">
        <v>10.846</v>
      </c>
      <c r="N15" s="1812">
        <v>10.846</v>
      </c>
      <c r="O15" s="1812">
        <v>13.005000000000001</v>
      </c>
      <c r="P15" s="1812">
        <v>13.005000000000001</v>
      </c>
      <c r="Q15" s="1812">
        <v>13.005000000000001</v>
      </c>
    </row>
    <row r="16" spans="2:17" hidden="1">
      <c r="C16" s="1814"/>
      <c r="D16" s="1816" t="s">
        <v>3063</v>
      </c>
      <c r="E16" s="1816"/>
      <c r="F16" s="1817"/>
      <c r="G16" s="1806">
        <f t="shared" si="3"/>
        <v>23</v>
      </c>
      <c r="H16" s="1818">
        <f>CO2計算!$F$21</f>
        <v>0</v>
      </c>
      <c r="I16" s="1812">
        <f>(I13-I14)*$H16</f>
        <v>0</v>
      </c>
      <c r="J16" s="1812">
        <f t="shared" ref="J16:Q16" si="4">(J13-J14)*$H16</f>
        <v>0</v>
      </c>
      <c r="K16" s="1812">
        <f t="shared" si="4"/>
        <v>0</v>
      </c>
      <c r="L16" s="1812">
        <f t="shared" si="4"/>
        <v>0</v>
      </c>
      <c r="M16" s="1812">
        <f t="shared" si="4"/>
        <v>0</v>
      </c>
      <c r="N16" s="1812">
        <f t="shared" si="4"/>
        <v>0</v>
      </c>
      <c r="O16" s="1812">
        <f t="shared" si="4"/>
        <v>0</v>
      </c>
      <c r="P16" s="1812">
        <f t="shared" si="4"/>
        <v>0</v>
      </c>
      <c r="Q16" s="1812">
        <f t="shared" si="4"/>
        <v>0</v>
      </c>
    </row>
    <row r="17" spans="3:17" hidden="1">
      <c r="C17" s="1814"/>
      <c r="D17" s="1816" t="s">
        <v>3064</v>
      </c>
      <c r="E17" s="1816"/>
      <c r="F17" s="1817"/>
      <c r="G17" s="1806">
        <f t="shared" si="3"/>
        <v>24</v>
      </c>
      <c r="H17" s="1818">
        <f>CO2計算!$F$22</f>
        <v>0</v>
      </c>
      <c r="I17" s="1812">
        <f t="shared" ref="I17:Q17" si="5">(I13-I15)*$H17</f>
        <v>0</v>
      </c>
      <c r="J17" s="1812">
        <f t="shared" si="5"/>
        <v>0</v>
      </c>
      <c r="K17" s="1812">
        <f t="shared" si="5"/>
        <v>0</v>
      </c>
      <c r="L17" s="1812">
        <f t="shared" si="5"/>
        <v>0</v>
      </c>
      <c r="M17" s="1812">
        <f t="shared" si="5"/>
        <v>0</v>
      </c>
      <c r="N17" s="1812">
        <f t="shared" si="5"/>
        <v>0</v>
      </c>
      <c r="O17" s="1812">
        <f t="shared" si="5"/>
        <v>0</v>
      </c>
      <c r="P17" s="1812">
        <f t="shared" si="5"/>
        <v>0</v>
      </c>
      <c r="Q17" s="1812">
        <f t="shared" si="5"/>
        <v>0</v>
      </c>
    </row>
    <row r="18" spans="3:17" hidden="1">
      <c r="C18" s="1820"/>
      <c r="D18" s="1816" t="s">
        <v>530</v>
      </c>
      <c r="E18" s="1816"/>
      <c r="F18" s="1817"/>
      <c r="G18" s="1806">
        <f t="shared" si="3"/>
        <v>25</v>
      </c>
      <c r="H18" s="1822"/>
      <c r="I18" s="1812">
        <f t="shared" ref="I18:Q18" si="6">I13-I16-I17</f>
        <v>10.473000000000001</v>
      </c>
      <c r="J18" s="1812">
        <f t="shared" si="6"/>
        <v>10.473000000000001</v>
      </c>
      <c r="K18" s="1812">
        <f t="shared" si="6"/>
        <v>10.473000000000001</v>
      </c>
      <c r="L18" s="1812">
        <f t="shared" si="6"/>
        <v>11.762999999999998</v>
      </c>
      <c r="M18" s="1812">
        <f t="shared" si="6"/>
        <v>11.762999999999998</v>
      </c>
      <c r="N18" s="1812">
        <f t="shared" si="6"/>
        <v>11.762999999999998</v>
      </c>
      <c r="O18" s="1812">
        <f t="shared" si="6"/>
        <v>14.002000000000002</v>
      </c>
      <c r="P18" s="1812">
        <f t="shared" si="6"/>
        <v>14.002000000000002</v>
      </c>
      <c r="Q18" s="1812">
        <f t="shared" si="6"/>
        <v>14.002000000000002</v>
      </c>
    </row>
    <row r="19" spans="3:17">
      <c r="C19" s="1807" t="s">
        <v>2126</v>
      </c>
      <c r="D19" s="1800"/>
      <c r="E19" s="1800"/>
      <c r="F19" s="1801"/>
      <c r="G19" s="1806">
        <f t="shared" si="3"/>
        <v>30</v>
      </c>
      <c r="H19" s="1806"/>
      <c r="I19" s="1809">
        <v>16.572000000000003</v>
      </c>
      <c r="J19" s="1809">
        <v>16.572000000000003</v>
      </c>
      <c r="K19" s="1809">
        <v>16.572000000000003</v>
      </c>
      <c r="L19" s="1809">
        <v>22.385999999999999</v>
      </c>
      <c r="M19" s="1809">
        <v>22.385999999999999</v>
      </c>
      <c r="N19" s="1809">
        <v>22.385999999999999</v>
      </c>
      <c r="O19" s="1809">
        <v>16.960999999999999</v>
      </c>
      <c r="P19" s="1809">
        <v>16.960999999999999</v>
      </c>
      <c r="Q19" s="1809">
        <v>16.960999999999999</v>
      </c>
    </row>
    <row r="20" spans="3:17">
      <c r="C20" s="1810"/>
      <c r="D20" s="978" t="s">
        <v>2622</v>
      </c>
      <c r="E20" s="978"/>
      <c r="F20" s="1811">
        <v>1</v>
      </c>
      <c r="G20" s="1806">
        <f t="shared" si="3"/>
        <v>31</v>
      </c>
      <c r="H20" s="1806"/>
      <c r="I20" s="1812">
        <v>8.4039999999999999</v>
      </c>
      <c r="J20" s="1812">
        <v>8.4039999999999999</v>
      </c>
      <c r="K20" s="1812">
        <v>8.4039999999999999</v>
      </c>
      <c r="L20" s="1812">
        <v>8.5990000000000002</v>
      </c>
      <c r="M20" s="1812">
        <v>8.5990000000000002</v>
      </c>
      <c r="N20" s="1812">
        <v>8.5990000000000002</v>
      </c>
      <c r="O20" s="1812">
        <v>8.4849999999999994</v>
      </c>
      <c r="P20" s="1812">
        <v>8.4849999999999994</v>
      </c>
      <c r="Q20" s="1812">
        <v>8.4849999999999994</v>
      </c>
    </row>
    <row r="21" spans="3:17">
      <c r="C21" s="1810"/>
      <c r="D21" s="978" t="s">
        <v>2623</v>
      </c>
      <c r="E21" s="978"/>
      <c r="F21" s="1811">
        <v>1</v>
      </c>
      <c r="G21" s="1806">
        <f t="shared" si="3"/>
        <v>32</v>
      </c>
      <c r="H21" s="1813"/>
      <c r="I21" s="1812">
        <v>15.867000000000001</v>
      </c>
      <c r="J21" s="1812">
        <v>15.867000000000001</v>
      </c>
      <c r="K21" s="1812">
        <v>15.867000000000001</v>
      </c>
      <c r="L21" s="1812">
        <v>20.512</v>
      </c>
      <c r="M21" s="1812">
        <v>20.512</v>
      </c>
      <c r="N21" s="1812">
        <v>20.512</v>
      </c>
      <c r="O21" s="1812">
        <v>16.321999999999999</v>
      </c>
      <c r="P21" s="1812">
        <v>16.321999999999999</v>
      </c>
      <c r="Q21" s="1812">
        <v>16.321999999999999</v>
      </c>
    </row>
    <row r="22" spans="3:17" hidden="1">
      <c r="C22" s="1814"/>
      <c r="D22" s="1816" t="s">
        <v>3063</v>
      </c>
      <c r="E22" s="1816"/>
      <c r="F22" s="1817"/>
      <c r="G22" s="1806">
        <f t="shared" si="3"/>
        <v>33</v>
      </c>
      <c r="H22" s="1818">
        <f>CO2計算!$F$21</f>
        <v>0</v>
      </c>
      <c r="I22" s="1812">
        <f>(I19-I20)*$H22</f>
        <v>0</v>
      </c>
      <c r="J22" s="1812">
        <f t="shared" ref="J22:Q22" si="7">(J19-J20)*$H22</f>
        <v>0</v>
      </c>
      <c r="K22" s="1812">
        <f t="shared" si="7"/>
        <v>0</v>
      </c>
      <c r="L22" s="1812">
        <f t="shared" si="7"/>
        <v>0</v>
      </c>
      <c r="M22" s="1812">
        <f t="shared" si="7"/>
        <v>0</v>
      </c>
      <c r="N22" s="1812">
        <f t="shared" si="7"/>
        <v>0</v>
      </c>
      <c r="O22" s="1812">
        <f t="shared" si="7"/>
        <v>0</v>
      </c>
      <c r="P22" s="1812">
        <f t="shared" si="7"/>
        <v>0</v>
      </c>
      <c r="Q22" s="1812">
        <f t="shared" si="7"/>
        <v>0</v>
      </c>
    </row>
    <row r="23" spans="3:17" hidden="1">
      <c r="C23" s="1814"/>
      <c r="D23" s="1816" t="s">
        <v>3064</v>
      </c>
      <c r="E23" s="1816"/>
      <c r="F23" s="1817"/>
      <c r="G23" s="1806">
        <f t="shared" si="3"/>
        <v>34</v>
      </c>
      <c r="H23" s="1818">
        <f>CO2計算!$F$22</f>
        <v>0</v>
      </c>
      <c r="I23" s="1812">
        <f t="shared" ref="I23:Q23" si="8">(I19-I21)*$H23</f>
        <v>0</v>
      </c>
      <c r="J23" s="1812">
        <f t="shared" si="8"/>
        <v>0</v>
      </c>
      <c r="K23" s="1812">
        <f t="shared" si="8"/>
        <v>0</v>
      </c>
      <c r="L23" s="1812">
        <f t="shared" si="8"/>
        <v>0</v>
      </c>
      <c r="M23" s="1812">
        <f t="shared" si="8"/>
        <v>0</v>
      </c>
      <c r="N23" s="1812">
        <f t="shared" si="8"/>
        <v>0</v>
      </c>
      <c r="O23" s="1812">
        <f t="shared" si="8"/>
        <v>0</v>
      </c>
      <c r="P23" s="1812">
        <f t="shared" si="8"/>
        <v>0</v>
      </c>
      <c r="Q23" s="1812">
        <f t="shared" si="8"/>
        <v>0</v>
      </c>
    </row>
    <row r="24" spans="3:17" hidden="1">
      <c r="C24" s="1820"/>
      <c r="D24" s="1816" t="s">
        <v>530</v>
      </c>
      <c r="E24" s="1816"/>
      <c r="F24" s="1817"/>
      <c r="G24" s="1806">
        <f t="shared" si="3"/>
        <v>35</v>
      </c>
      <c r="H24" s="1822"/>
      <c r="I24" s="1812">
        <f t="shared" ref="I24:Q24" si="9">I19-I22-I23</f>
        <v>16.572000000000003</v>
      </c>
      <c r="J24" s="1812">
        <f t="shared" si="9"/>
        <v>16.572000000000003</v>
      </c>
      <c r="K24" s="1812">
        <f t="shared" si="9"/>
        <v>16.572000000000003</v>
      </c>
      <c r="L24" s="1812">
        <f t="shared" si="9"/>
        <v>22.385999999999999</v>
      </c>
      <c r="M24" s="1812">
        <f t="shared" si="9"/>
        <v>22.385999999999999</v>
      </c>
      <c r="N24" s="1812">
        <f t="shared" si="9"/>
        <v>22.385999999999999</v>
      </c>
      <c r="O24" s="1812">
        <f t="shared" si="9"/>
        <v>16.960999999999999</v>
      </c>
      <c r="P24" s="1812">
        <f t="shared" si="9"/>
        <v>16.960999999999999</v>
      </c>
      <c r="Q24" s="1812">
        <f t="shared" si="9"/>
        <v>16.960999999999999</v>
      </c>
    </row>
    <row r="25" spans="3:17">
      <c r="C25" s="1807" t="s">
        <v>2268</v>
      </c>
      <c r="D25" s="1800"/>
      <c r="E25" s="1800"/>
      <c r="F25" s="1801"/>
      <c r="G25" s="1806">
        <f t="shared" si="3"/>
        <v>40</v>
      </c>
      <c r="H25" s="1806"/>
      <c r="I25" s="1809">
        <v>16.571999999999999</v>
      </c>
      <c r="J25" s="1809">
        <v>16.572000000000003</v>
      </c>
      <c r="K25" s="1809">
        <v>16.572000000000003</v>
      </c>
      <c r="L25" s="1809">
        <v>22.385999999999999</v>
      </c>
      <c r="M25" s="1809">
        <v>22.385999999999999</v>
      </c>
      <c r="N25" s="1809">
        <v>22.385999999999999</v>
      </c>
      <c r="O25" s="1809">
        <v>16.960999999999999</v>
      </c>
      <c r="P25" s="1809">
        <v>16.960999999999999</v>
      </c>
      <c r="Q25" s="1809">
        <v>16.960999999999999</v>
      </c>
    </row>
    <row r="26" spans="3:17">
      <c r="C26" s="1810"/>
      <c r="D26" s="978" t="s">
        <v>2622</v>
      </c>
      <c r="E26" s="978"/>
      <c r="F26" s="1811">
        <v>1</v>
      </c>
      <c r="G26" s="1806">
        <f t="shared" si="3"/>
        <v>41</v>
      </c>
      <c r="H26" s="1806"/>
      <c r="I26" s="1812">
        <v>8.4039999999999999</v>
      </c>
      <c r="J26" s="1812">
        <v>8.4039999999999999</v>
      </c>
      <c r="K26" s="1812">
        <v>8.4039999999999999</v>
      </c>
      <c r="L26" s="1812">
        <v>8.5990000000000002</v>
      </c>
      <c r="M26" s="1812">
        <v>8.5990000000000002</v>
      </c>
      <c r="N26" s="1812">
        <v>8.5990000000000002</v>
      </c>
      <c r="O26" s="1812">
        <v>8.4849999999999994</v>
      </c>
      <c r="P26" s="1812">
        <v>8.4849999999999994</v>
      </c>
      <c r="Q26" s="1812">
        <v>8.4849999999999994</v>
      </c>
    </row>
    <row r="27" spans="3:17">
      <c r="C27" s="1810"/>
      <c r="D27" s="978" t="s">
        <v>2623</v>
      </c>
      <c r="E27" s="978"/>
      <c r="F27" s="1811">
        <v>1</v>
      </c>
      <c r="G27" s="1806">
        <f t="shared" si="3"/>
        <v>42</v>
      </c>
      <c r="H27" s="1813"/>
      <c r="I27" s="1812">
        <v>15.867000000000001</v>
      </c>
      <c r="J27" s="1812">
        <v>15.867000000000001</v>
      </c>
      <c r="K27" s="1812">
        <v>15.867000000000001</v>
      </c>
      <c r="L27" s="1812">
        <v>20.512</v>
      </c>
      <c r="M27" s="1812">
        <v>20.512</v>
      </c>
      <c r="N27" s="1812">
        <v>20.512</v>
      </c>
      <c r="O27" s="1812">
        <v>16.321999999999999</v>
      </c>
      <c r="P27" s="1812">
        <v>16.321999999999999</v>
      </c>
      <c r="Q27" s="1812">
        <v>16.321999999999999</v>
      </c>
    </row>
    <row r="28" spans="3:17" hidden="1">
      <c r="C28" s="1814"/>
      <c r="D28" s="1816" t="s">
        <v>3063</v>
      </c>
      <c r="E28" s="1816"/>
      <c r="F28" s="1817"/>
      <c r="G28" s="1806">
        <f t="shared" si="3"/>
        <v>43</v>
      </c>
      <c r="H28" s="1818">
        <f>CO2計算!$F$21</f>
        <v>0</v>
      </c>
      <c r="I28" s="1812">
        <f>(I25-I26)*$H28</f>
        <v>0</v>
      </c>
      <c r="J28" s="1812">
        <f t="shared" ref="J28:Q28" si="10">(J25-J26)*$H28</f>
        <v>0</v>
      </c>
      <c r="K28" s="1812">
        <f t="shared" si="10"/>
        <v>0</v>
      </c>
      <c r="L28" s="1812">
        <f t="shared" si="10"/>
        <v>0</v>
      </c>
      <c r="M28" s="1812">
        <f t="shared" si="10"/>
        <v>0</v>
      </c>
      <c r="N28" s="1812">
        <f t="shared" si="10"/>
        <v>0</v>
      </c>
      <c r="O28" s="1812">
        <f t="shared" si="10"/>
        <v>0</v>
      </c>
      <c r="P28" s="1812">
        <f t="shared" si="10"/>
        <v>0</v>
      </c>
      <c r="Q28" s="1812">
        <f t="shared" si="10"/>
        <v>0</v>
      </c>
    </row>
    <row r="29" spans="3:17" hidden="1">
      <c r="C29" s="1814"/>
      <c r="D29" s="1816" t="s">
        <v>3064</v>
      </c>
      <c r="E29" s="1816"/>
      <c r="F29" s="1817"/>
      <c r="G29" s="1806">
        <f t="shared" si="3"/>
        <v>44</v>
      </c>
      <c r="H29" s="1818">
        <f>CO2計算!$F$22</f>
        <v>0</v>
      </c>
      <c r="I29" s="1812">
        <f t="shared" ref="I29:Q29" si="11">(I25-I27)*$H29</f>
        <v>0</v>
      </c>
      <c r="J29" s="1812">
        <f t="shared" si="11"/>
        <v>0</v>
      </c>
      <c r="K29" s="1812">
        <f t="shared" si="11"/>
        <v>0</v>
      </c>
      <c r="L29" s="1812">
        <f t="shared" si="11"/>
        <v>0</v>
      </c>
      <c r="M29" s="1812">
        <f t="shared" si="11"/>
        <v>0</v>
      </c>
      <c r="N29" s="1812">
        <f t="shared" si="11"/>
        <v>0</v>
      </c>
      <c r="O29" s="1812">
        <f t="shared" si="11"/>
        <v>0</v>
      </c>
      <c r="P29" s="1812">
        <f t="shared" si="11"/>
        <v>0</v>
      </c>
      <c r="Q29" s="1812">
        <f t="shared" si="11"/>
        <v>0</v>
      </c>
    </row>
    <row r="30" spans="3:17" hidden="1">
      <c r="C30" s="1820"/>
      <c r="D30" s="1816" t="s">
        <v>530</v>
      </c>
      <c r="E30" s="1816"/>
      <c r="F30" s="1817"/>
      <c r="G30" s="1806">
        <f t="shared" si="3"/>
        <v>45</v>
      </c>
      <c r="H30" s="1822"/>
      <c r="I30" s="1812">
        <f t="shared" ref="I30:Q30" si="12">I25-I28-I29</f>
        <v>16.571999999999999</v>
      </c>
      <c r="J30" s="1812">
        <f t="shared" si="12"/>
        <v>16.572000000000003</v>
      </c>
      <c r="K30" s="1812">
        <f t="shared" si="12"/>
        <v>16.572000000000003</v>
      </c>
      <c r="L30" s="1812">
        <f t="shared" si="12"/>
        <v>22.385999999999999</v>
      </c>
      <c r="M30" s="1812">
        <f t="shared" si="12"/>
        <v>22.385999999999999</v>
      </c>
      <c r="N30" s="1812">
        <f t="shared" si="12"/>
        <v>22.385999999999999</v>
      </c>
      <c r="O30" s="1812">
        <f t="shared" si="12"/>
        <v>16.960999999999999</v>
      </c>
      <c r="P30" s="1812">
        <f t="shared" si="12"/>
        <v>16.960999999999999</v>
      </c>
      <c r="Q30" s="1812">
        <f t="shared" si="12"/>
        <v>16.960999999999999</v>
      </c>
    </row>
    <row r="31" spans="3:17">
      <c r="C31" s="1807" t="s">
        <v>2128</v>
      </c>
      <c r="D31" s="1800"/>
      <c r="E31" s="1800"/>
      <c r="F31" s="1801"/>
      <c r="G31" s="1806">
        <f t="shared" si="3"/>
        <v>50</v>
      </c>
      <c r="H31" s="1806"/>
      <c r="I31" s="1809">
        <v>11.535</v>
      </c>
      <c r="J31" s="1809">
        <v>11.535</v>
      </c>
      <c r="K31" s="1809">
        <v>11.535</v>
      </c>
      <c r="L31" s="1809">
        <v>12.471</v>
      </c>
      <c r="M31" s="1809">
        <v>12.471</v>
      </c>
      <c r="N31" s="1809">
        <v>12.471</v>
      </c>
      <c r="O31" s="1809">
        <v>13.079000000000001</v>
      </c>
      <c r="P31" s="1809">
        <v>13.079000000000001</v>
      </c>
      <c r="Q31" s="1809">
        <v>13.079000000000001</v>
      </c>
    </row>
    <row r="32" spans="3:17">
      <c r="C32" s="1810"/>
      <c r="D32" s="978" t="s">
        <v>2622</v>
      </c>
      <c r="E32" s="978"/>
      <c r="F32" s="1811">
        <v>1</v>
      </c>
      <c r="G32" s="1806">
        <f t="shared" si="3"/>
        <v>51</v>
      </c>
      <c r="H32" s="1806"/>
      <c r="I32" s="1812">
        <v>5.452</v>
      </c>
      <c r="J32" s="1812">
        <v>5.452</v>
      </c>
      <c r="K32" s="1812">
        <v>5.452</v>
      </c>
      <c r="L32" s="1812">
        <v>5.5779999999999994</v>
      </c>
      <c r="M32" s="1812">
        <v>5.5779999999999994</v>
      </c>
      <c r="N32" s="1812">
        <v>5.5779999999999994</v>
      </c>
      <c r="O32" s="1812">
        <v>5.5039999999999996</v>
      </c>
      <c r="P32" s="1812">
        <v>5.5039999999999996</v>
      </c>
      <c r="Q32" s="1812">
        <v>5.5039999999999996</v>
      </c>
    </row>
    <row r="33" spans="3:17">
      <c r="C33" s="1810"/>
      <c r="D33" s="978" t="s">
        <v>2623</v>
      </c>
      <c r="E33" s="978"/>
      <c r="F33" s="1811">
        <v>1</v>
      </c>
      <c r="G33" s="1806">
        <f t="shared" si="3"/>
        <v>52</v>
      </c>
      <c r="H33" s="1813"/>
      <c r="I33" s="1812">
        <v>11.178000000000001</v>
      </c>
      <c r="J33" s="1812">
        <v>11.178000000000001</v>
      </c>
      <c r="K33" s="1812">
        <v>11.178000000000001</v>
      </c>
      <c r="L33" s="1812">
        <v>11.533999999999999</v>
      </c>
      <c r="M33" s="1812">
        <v>11.533999999999999</v>
      </c>
      <c r="N33" s="1812">
        <v>11.533999999999999</v>
      </c>
      <c r="O33" s="1812">
        <v>12.182</v>
      </c>
      <c r="P33" s="1812">
        <v>12.182</v>
      </c>
      <c r="Q33" s="1812">
        <v>12.182</v>
      </c>
    </row>
    <row r="34" spans="3:17" hidden="1">
      <c r="C34" s="1814"/>
      <c r="D34" s="1816" t="s">
        <v>3063</v>
      </c>
      <c r="E34" s="1816"/>
      <c r="F34" s="1817"/>
      <c r="G34" s="1806">
        <f t="shared" si="3"/>
        <v>53</v>
      </c>
      <c r="H34" s="1818">
        <f>CO2計算!$F$21</f>
        <v>0</v>
      </c>
      <c r="I34" s="1812">
        <f>(I31-I32)*$H34</f>
        <v>0</v>
      </c>
      <c r="J34" s="1812">
        <f t="shared" ref="J34:Q34" si="13">(J31-J32)*$H34</f>
        <v>0</v>
      </c>
      <c r="K34" s="1812">
        <f t="shared" si="13"/>
        <v>0</v>
      </c>
      <c r="L34" s="1812">
        <f t="shared" si="13"/>
        <v>0</v>
      </c>
      <c r="M34" s="1812">
        <f t="shared" si="13"/>
        <v>0</v>
      </c>
      <c r="N34" s="1812">
        <f t="shared" si="13"/>
        <v>0</v>
      </c>
      <c r="O34" s="1812">
        <f t="shared" si="13"/>
        <v>0</v>
      </c>
      <c r="P34" s="1812">
        <f t="shared" si="13"/>
        <v>0</v>
      </c>
      <c r="Q34" s="1812">
        <f t="shared" si="13"/>
        <v>0</v>
      </c>
    </row>
    <row r="35" spans="3:17" hidden="1">
      <c r="C35" s="1814"/>
      <c r="D35" s="1816" t="s">
        <v>3064</v>
      </c>
      <c r="E35" s="1816"/>
      <c r="F35" s="1817"/>
      <c r="G35" s="1806">
        <f t="shared" si="3"/>
        <v>54</v>
      </c>
      <c r="H35" s="1818">
        <f>CO2計算!$F$22</f>
        <v>0</v>
      </c>
      <c r="I35" s="1812">
        <f t="shared" ref="I35:Q35" si="14">(I31-I33)*$H35</f>
        <v>0</v>
      </c>
      <c r="J35" s="1812">
        <f t="shared" si="14"/>
        <v>0</v>
      </c>
      <c r="K35" s="1812">
        <f t="shared" si="14"/>
        <v>0</v>
      </c>
      <c r="L35" s="1812">
        <f t="shared" si="14"/>
        <v>0</v>
      </c>
      <c r="M35" s="1812">
        <f t="shared" si="14"/>
        <v>0</v>
      </c>
      <c r="N35" s="1812">
        <f t="shared" si="14"/>
        <v>0</v>
      </c>
      <c r="O35" s="1812">
        <f t="shared" si="14"/>
        <v>0</v>
      </c>
      <c r="P35" s="1812">
        <f t="shared" si="14"/>
        <v>0</v>
      </c>
      <c r="Q35" s="1812">
        <f t="shared" si="14"/>
        <v>0</v>
      </c>
    </row>
    <row r="36" spans="3:17" hidden="1">
      <c r="C36" s="1820"/>
      <c r="D36" s="1816" t="s">
        <v>530</v>
      </c>
      <c r="E36" s="1816"/>
      <c r="F36" s="1817"/>
      <c r="G36" s="1806">
        <f t="shared" si="3"/>
        <v>55</v>
      </c>
      <c r="H36" s="1822"/>
      <c r="I36" s="1812">
        <f t="shared" ref="I36:Q36" si="15">I31-I34-I35</f>
        <v>11.535</v>
      </c>
      <c r="J36" s="1812">
        <f t="shared" si="15"/>
        <v>11.535</v>
      </c>
      <c r="K36" s="1812">
        <f t="shared" si="15"/>
        <v>11.535</v>
      </c>
      <c r="L36" s="1812">
        <f t="shared" si="15"/>
        <v>12.471</v>
      </c>
      <c r="M36" s="1812">
        <f t="shared" si="15"/>
        <v>12.471</v>
      </c>
      <c r="N36" s="1812">
        <f t="shared" si="15"/>
        <v>12.471</v>
      </c>
      <c r="O36" s="1812">
        <f t="shared" si="15"/>
        <v>13.079000000000001</v>
      </c>
      <c r="P36" s="1812">
        <f t="shared" si="15"/>
        <v>13.079000000000001</v>
      </c>
      <c r="Q36" s="1812">
        <f t="shared" si="15"/>
        <v>13.079000000000001</v>
      </c>
    </row>
    <row r="37" spans="3:17">
      <c r="C37" s="1807" t="s">
        <v>528</v>
      </c>
      <c r="D37" s="1800"/>
      <c r="E37" s="1800"/>
      <c r="F37" s="1801"/>
      <c r="G37" s="1806">
        <f t="shared" si="3"/>
        <v>60</v>
      </c>
      <c r="H37" s="1806"/>
      <c r="I37" s="1809">
        <v>19.561999999999998</v>
      </c>
      <c r="J37" s="1809">
        <v>19.561999999999998</v>
      </c>
      <c r="K37" s="1809">
        <v>19.561999999999998</v>
      </c>
      <c r="L37" s="1809">
        <v>22.5</v>
      </c>
      <c r="M37" s="1809">
        <v>22.5</v>
      </c>
      <c r="N37" s="1809">
        <v>22.5</v>
      </c>
      <c r="O37" s="1809">
        <v>23.650000000000002</v>
      </c>
      <c r="P37" s="1809">
        <v>23.650000000000002</v>
      </c>
      <c r="Q37" s="1809">
        <v>23.650000000000002</v>
      </c>
    </row>
    <row r="38" spans="3:17">
      <c r="C38" s="1810"/>
      <c r="D38" s="978" t="s">
        <v>2622</v>
      </c>
      <c r="E38" s="978"/>
      <c r="F38" s="1811">
        <v>1</v>
      </c>
      <c r="G38" s="1806">
        <f t="shared" si="3"/>
        <v>61</v>
      </c>
      <c r="H38" s="1806"/>
      <c r="I38" s="1812">
        <v>9.9849999999999994</v>
      </c>
      <c r="J38" s="1812">
        <v>9.9849999999999994</v>
      </c>
      <c r="K38" s="1812">
        <v>9.9849999999999994</v>
      </c>
      <c r="L38" s="1812">
        <v>10.302</v>
      </c>
      <c r="M38" s="1812">
        <v>10.302</v>
      </c>
      <c r="N38" s="1812">
        <v>10.302</v>
      </c>
      <c r="O38" s="1812">
        <v>9.9700000000000006</v>
      </c>
      <c r="P38" s="1812">
        <v>9.9700000000000006</v>
      </c>
      <c r="Q38" s="1812">
        <v>9.9700000000000006</v>
      </c>
    </row>
    <row r="39" spans="3:17">
      <c r="C39" s="1810"/>
      <c r="D39" s="978" t="s">
        <v>2623</v>
      </c>
      <c r="E39" s="978"/>
      <c r="F39" s="1811">
        <v>1</v>
      </c>
      <c r="G39" s="1806">
        <f t="shared" si="3"/>
        <v>62</v>
      </c>
      <c r="H39" s="1813"/>
      <c r="I39" s="1812">
        <v>18.811</v>
      </c>
      <c r="J39" s="1812">
        <v>18.811</v>
      </c>
      <c r="K39" s="1812">
        <v>18.811</v>
      </c>
      <c r="L39" s="1812">
        <v>20.811999999999998</v>
      </c>
      <c r="M39" s="1812">
        <v>20.811999999999998</v>
      </c>
      <c r="N39" s="1812">
        <v>20.811999999999998</v>
      </c>
      <c r="O39" s="1812">
        <v>22.231999999999999</v>
      </c>
      <c r="P39" s="1812">
        <v>22.231999999999999</v>
      </c>
      <c r="Q39" s="1812">
        <v>22.231999999999999</v>
      </c>
    </row>
    <row r="40" spans="3:17" hidden="1">
      <c r="C40" s="1814"/>
      <c r="D40" s="1816" t="s">
        <v>3063</v>
      </c>
      <c r="E40" s="1816"/>
      <c r="F40" s="1817"/>
      <c r="G40" s="1806">
        <f t="shared" si="3"/>
        <v>63</v>
      </c>
      <c r="H40" s="1818">
        <f>CO2計算!$F$21</f>
        <v>0</v>
      </c>
      <c r="I40" s="1812">
        <f>(I37-I38)*$H40</f>
        <v>0</v>
      </c>
      <c r="J40" s="1812">
        <f t="shared" ref="J40:Q40" si="16">(J37-J38)*$H40</f>
        <v>0</v>
      </c>
      <c r="K40" s="1812">
        <f t="shared" si="16"/>
        <v>0</v>
      </c>
      <c r="L40" s="1812">
        <f t="shared" si="16"/>
        <v>0</v>
      </c>
      <c r="M40" s="1812">
        <f t="shared" si="16"/>
        <v>0</v>
      </c>
      <c r="N40" s="1812">
        <f t="shared" si="16"/>
        <v>0</v>
      </c>
      <c r="O40" s="1812">
        <f t="shared" si="16"/>
        <v>0</v>
      </c>
      <c r="P40" s="1812">
        <f t="shared" si="16"/>
        <v>0</v>
      </c>
      <c r="Q40" s="1812">
        <f t="shared" si="16"/>
        <v>0</v>
      </c>
    </row>
    <row r="41" spans="3:17" hidden="1">
      <c r="C41" s="1814"/>
      <c r="D41" s="1816" t="s">
        <v>3064</v>
      </c>
      <c r="E41" s="1816"/>
      <c r="F41" s="1817"/>
      <c r="G41" s="1806">
        <f t="shared" si="3"/>
        <v>64</v>
      </c>
      <c r="H41" s="1818">
        <f>CO2計算!$F$22</f>
        <v>0</v>
      </c>
      <c r="I41" s="1812">
        <f t="shared" ref="I41:Q41" si="17">(I37-I39)*$H41</f>
        <v>0</v>
      </c>
      <c r="J41" s="1812">
        <f t="shared" si="17"/>
        <v>0</v>
      </c>
      <c r="K41" s="1812">
        <f t="shared" si="17"/>
        <v>0</v>
      </c>
      <c r="L41" s="1812">
        <f t="shared" si="17"/>
        <v>0</v>
      </c>
      <c r="M41" s="1812">
        <f t="shared" si="17"/>
        <v>0</v>
      </c>
      <c r="N41" s="1812">
        <f t="shared" si="17"/>
        <v>0</v>
      </c>
      <c r="O41" s="1812">
        <f t="shared" si="17"/>
        <v>0</v>
      </c>
      <c r="P41" s="1812">
        <f t="shared" si="17"/>
        <v>0</v>
      </c>
      <c r="Q41" s="1812">
        <f t="shared" si="17"/>
        <v>0</v>
      </c>
    </row>
    <row r="42" spans="3:17" hidden="1">
      <c r="C42" s="1820"/>
      <c r="D42" s="1816" t="s">
        <v>530</v>
      </c>
      <c r="E42" s="1816"/>
      <c r="F42" s="1817"/>
      <c r="G42" s="1806">
        <f t="shared" si="3"/>
        <v>65</v>
      </c>
      <c r="H42" s="1822"/>
      <c r="I42" s="1812">
        <f t="shared" ref="I42:Q42" si="18">I37-I40-I41</f>
        <v>19.561999999999998</v>
      </c>
      <c r="J42" s="1812">
        <f t="shared" si="18"/>
        <v>19.561999999999998</v>
      </c>
      <c r="K42" s="1812">
        <f t="shared" si="18"/>
        <v>19.561999999999998</v>
      </c>
      <c r="L42" s="1812">
        <f t="shared" si="18"/>
        <v>22.5</v>
      </c>
      <c r="M42" s="1812">
        <f t="shared" si="18"/>
        <v>22.5</v>
      </c>
      <c r="N42" s="1812">
        <f t="shared" si="18"/>
        <v>22.5</v>
      </c>
      <c r="O42" s="1812">
        <f t="shared" si="18"/>
        <v>23.650000000000002</v>
      </c>
      <c r="P42" s="1812">
        <f t="shared" si="18"/>
        <v>23.650000000000002</v>
      </c>
      <c r="Q42" s="1812">
        <f t="shared" si="18"/>
        <v>23.650000000000002</v>
      </c>
    </row>
    <row r="43" spans="3:17">
      <c r="C43" s="1807" t="s">
        <v>2130</v>
      </c>
      <c r="D43" s="1800"/>
      <c r="E43" s="1800"/>
      <c r="F43" s="1801"/>
      <c r="G43" s="1806">
        <f t="shared" si="3"/>
        <v>70</v>
      </c>
      <c r="H43" s="1806"/>
      <c r="I43" s="1809">
        <v>10.405000000000001</v>
      </c>
      <c r="J43" s="1809">
        <v>10.405000000000001</v>
      </c>
      <c r="K43" s="1809">
        <v>10.405000000000001</v>
      </c>
      <c r="L43" s="1809">
        <v>12.261000000000001</v>
      </c>
      <c r="M43" s="1809">
        <v>12.261000000000001</v>
      </c>
      <c r="N43" s="1809">
        <v>12.261000000000001</v>
      </c>
      <c r="O43" s="1809">
        <v>13.704000000000001</v>
      </c>
      <c r="P43" s="1809">
        <v>13.704000000000001</v>
      </c>
      <c r="Q43" s="1809">
        <v>13.704000000000001</v>
      </c>
    </row>
    <row r="44" spans="3:17">
      <c r="C44" s="1810"/>
      <c r="D44" s="978" t="s">
        <v>2622</v>
      </c>
      <c r="E44" s="978"/>
      <c r="F44" s="1811">
        <v>1</v>
      </c>
      <c r="G44" s="1806">
        <f t="shared" si="3"/>
        <v>71</v>
      </c>
      <c r="H44" s="1806"/>
      <c r="I44" s="1812">
        <v>6.2990000000000004</v>
      </c>
      <c r="J44" s="1812">
        <v>6.2990000000000004</v>
      </c>
      <c r="K44" s="1812">
        <v>6.2990000000000004</v>
      </c>
      <c r="L44" s="1812">
        <v>6.4450000000000003</v>
      </c>
      <c r="M44" s="1812">
        <v>6.4450000000000003</v>
      </c>
      <c r="N44" s="1812">
        <v>6.4450000000000003</v>
      </c>
      <c r="O44" s="1812">
        <v>6.36</v>
      </c>
      <c r="P44" s="1812">
        <v>6.36</v>
      </c>
      <c r="Q44" s="1812">
        <v>6.36</v>
      </c>
    </row>
    <row r="45" spans="3:17">
      <c r="C45" s="1810"/>
      <c r="D45" s="978" t="s">
        <v>2623</v>
      </c>
      <c r="E45" s="978"/>
      <c r="F45" s="1811">
        <v>1</v>
      </c>
      <c r="G45" s="1806">
        <f t="shared" si="3"/>
        <v>72</v>
      </c>
      <c r="H45" s="1813"/>
      <c r="I45" s="1812">
        <v>10.077999999999999</v>
      </c>
      <c r="J45" s="1812">
        <v>10.077999999999999</v>
      </c>
      <c r="K45" s="1812">
        <v>10.077999999999999</v>
      </c>
      <c r="L45" s="1812">
        <v>11.452000000000002</v>
      </c>
      <c r="M45" s="1812">
        <v>11.452000000000002</v>
      </c>
      <c r="N45" s="1812">
        <v>11.452000000000002</v>
      </c>
      <c r="O45" s="1812">
        <v>12.857999999999999</v>
      </c>
      <c r="P45" s="1812">
        <v>12.857999999999999</v>
      </c>
      <c r="Q45" s="1812">
        <v>12.857999999999999</v>
      </c>
    </row>
    <row r="46" spans="3:17" hidden="1">
      <c r="C46" s="1814"/>
      <c r="D46" s="1816" t="s">
        <v>3063</v>
      </c>
      <c r="E46" s="1816"/>
      <c r="F46" s="1817"/>
      <c r="G46" s="1806">
        <f t="shared" si="3"/>
        <v>73</v>
      </c>
      <c r="H46" s="1818">
        <f>CO2計算!$F$21</f>
        <v>0</v>
      </c>
      <c r="I46" s="1812">
        <f>(I43-I44)*$H46</f>
        <v>0</v>
      </c>
      <c r="J46" s="1812">
        <f t="shared" ref="J46:Q46" si="19">(J43-J44)*$H46</f>
        <v>0</v>
      </c>
      <c r="K46" s="1812">
        <f t="shared" si="19"/>
        <v>0</v>
      </c>
      <c r="L46" s="1812">
        <f t="shared" si="19"/>
        <v>0</v>
      </c>
      <c r="M46" s="1812">
        <f t="shared" si="19"/>
        <v>0</v>
      </c>
      <c r="N46" s="1812">
        <f t="shared" si="19"/>
        <v>0</v>
      </c>
      <c r="O46" s="1812">
        <f t="shared" si="19"/>
        <v>0</v>
      </c>
      <c r="P46" s="1812">
        <f t="shared" si="19"/>
        <v>0</v>
      </c>
      <c r="Q46" s="1812">
        <f t="shared" si="19"/>
        <v>0</v>
      </c>
    </row>
    <row r="47" spans="3:17" hidden="1">
      <c r="C47" s="1814"/>
      <c r="D47" s="1816" t="s">
        <v>3064</v>
      </c>
      <c r="E47" s="1816"/>
      <c r="F47" s="1817"/>
      <c r="G47" s="1806">
        <f t="shared" si="3"/>
        <v>74</v>
      </c>
      <c r="H47" s="1818">
        <f>CO2計算!$F$22</f>
        <v>0</v>
      </c>
      <c r="I47" s="1812">
        <f t="shared" ref="I47:Q47" si="20">(I43-I45)*$H47</f>
        <v>0</v>
      </c>
      <c r="J47" s="1812">
        <f t="shared" si="20"/>
        <v>0</v>
      </c>
      <c r="K47" s="1812">
        <f t="shared" si="20"/>
        <v>0</v>
      </c>
      <c r="L47" s="1812">
        <f t="shared" si="20"/>
        <v>0</v>
      </c>
      <c r="M47" s="1812">
        <f t="shared" si="20"/>
        <v>0</v>
      </c>
      <c r="N47" s="1812">
        <f t="shared" si="20"/>
        <v>0</v>
      </c>
      <c r="O47" s="1812">
        <f t="shared" si="20"/>
        <v>0</v>
      </c>
      <c r="P47" s="1812">
        <f t="shared" si="20"/>
        <v>0</v>
      </c>
      <c r="Q47" s="1812">
        <f t="shared" si="20"/>
        <v>0</v>
      </c>
    </row>
    <row r="48" spans="3:17" hidden="1">
      <c r="C48" s="1820"/>
      <c r="D48" s="1816" t="s">
        <v>530</v>
      </c>
      <c r="E48" s="1816"/>
      <c r="F48" s="1817"/>
      <c r="G48" s="1806">
        <f t="shared" si="3"/>
        <v>75</v>
      </c>
      <c r="H48" s="1822"/>
      <c r="I48" s="1812">
        <f t="shared" ref="I48:Q48" si="21">I43-I46-I47</f>
        <v>10.405000000000001</v>
      </c>
      <c r="J48" s="1812">
        <f t="shared" si="21"/>
        <v>10.405000000000001</v>
      </c>
      <c r="K48" s="1812">
        <f t="shared" si="21"/>
        <v>10.405000000000001</v>
      </c>
      <c r="L48" s="1812">
        <f t="shared" si="21"/>
        <v>12.261000000000001</v>
      </c>
      <c r="M48" s="1812">
        <f t="shared" si="21"/>
        <v>12.261000000000001</v>
      </c>
      <c r="N48" s="1812">
        <f t="shared" si="21"/>
        <v>12.261000000000001</v>
      </c>
      <c r="O48" s="1812">
        <f t="shared" si="21"/>
        <v>13.704000000000001</v>
      </c>
      <c r="P48" s="1812">
        <f t="shared" si="21"/>
        <v>13.704000000000001</v>
      </c>
      <c r="Q48" s="1812">
        <f t="shared" si="21"/>
        <v>13.704000000000001</v>
      </c>
    </row>
    <row r="49" spans="3:17">
      <c r="C49" s="1807" t="s">
        <v>579</v>
      </c>
      <c r="D49" s="1800"/>
      <c r="E49" s="1800"/>
      <c r="F49" s="1801"/>
      <c r="G49" s="1806">
        <f t="shared" si="3"/>
        <v>80</v>
      </c>
      <c r="H49" s="1806"/>
      <c r="I49" s="1809">
        <v>11.119000000000002</v>
      </c>
      <c r="J49" s="1809">
        <v>11.119000000000002</v>
      </c>
      <c r="K49" s="1809">
        <v>11.119000000000002</v>
      </c>
      <c r="L49" s="1809">
        <v>12.770000000000001</v>
      </c>
      <c r="M49" s="1809">
        <v>12.770000000000001</v>
      </c>
      <c r="N49" s="1809">
        <v>12.770000000000001</v>
      </c>
      <c r="O49" s="1809">
        <v>13.53</v>
      </c>
      <c r="P49" s="1809">
        <v>13.53</v>
      </c>
      <c r="Q49" s="1809">
        <v>13.53</v>
      </c>
    </row>
    <row r="50" spans="3:17">
      <c r="C50" s="1810"/>
      <c r="D50" s="978" t="s">
        <v>2622</v>
      </c>
      <c r="E50" s="978"/>
      <c r="F50" s="1811">
        <v>1</v>
      </c>
      <c r="G50" s="1806">
        <f t="shared" si="3"/>
        <v>81</v>
      </c>
      <c r="H50" s="1806"/>
      <c r="I50" s="1812">
        <v>5.5570000000000004</v>
      </c>
      <c r="J50" s="1812">
        <v>5.5570000000000004</v>
      </c>
      <c r="K50" s="1812">
        <v>5.5570000000000004</v>
      </c>
      <c r="L50" s="1812">
        <v>5.6859999999999999</v>
      </c>
      <c r="M50" s="1812">
        <v>5.6859999999999999</v>
      </c>
      <c r="N50" s="1812">
        <v>5.6859999999999999</v>
      </c>
      <c r="O50" s="1812">
        <v>5.61</v>
      </c>
      <c r="P50" s="1812">
        <v>5.61</v>
      </c>
      <c r="Q50" s="1812">
        <v>5.61</v>
      </c>
    </row>
    <row r="51" spans="3:17">
      <c r="C51" s="1810"/>
      <c r="D51" s="978" t="s">
        <v>2623</v>
      </c>
      <c r="E51" s="978"/>
      <c r="F51" s="1811">
        <v>1</v>
      </c>
      <c r="G51" s="1806">
        <f t="shared" si="3"/>
        <v>82</v>
      </c>
      <c r="H51" s="1813"/>
      <c r="I51" s="1812">
        <v>10.67</v>
      </c>
      <c r="J51" s="1812">
        <v>10.67</v>
      </c>
      <c r="K51" s="1812">
        <v>10.67</v>
      </c>
      <c r="L51" s="1812">
        <v>11.715999999999999</v>
      </c>
      <c r="M51" s="1812">
        <v>11.715999999999999</v>
      </c>
      <c r="N51" s="1812">
        <v>11.715999999999999</v>
      </c>
      <c r="O51" s="1812">
        <v>12.681000000000001</v>
      </c>
      <c r="P51" s="1812">
        <v>12.681000000000001</v>
      </c>
      <c r="Q51" s="1812">
        <v>12.681000000000001</v>
      </c>
    </row>
    <row r="52" spans="3:17" hidden="1">
      <c r="C52" s="1814"/>
      <c r="D52" s="1816" t="s">
        <v>3063</v>
      </c>
      <c r="E52" s="1816"/>
      <c r="F52" s="1817"/>
      <c r="G52" s="1806">
        <f t="shared" si="3"/>
        <v>83</v>
      </c>
      <c r="H52" s="1818">
        <f>CO2計算!$F$21</f>
        <v>0</v>
      </c>
      <c r="I52" s="1812">
        <f>(I49-I50)*$H52</f>
        <v>0</v>
      </c>
      <c r="J52" s="1812">
        <f t="shared" ref="J52:Q52" si="22">(J49-J50)*$H52</f>
        <v>0</v>
      </c>
      <c r="K52" s="1812">
        <f t="shared" si="22"/>
        <v>0</v>
      </c>
      <c r="L52" s="1812">
        <f t="shared" si="22"/>
        <v>0</v>
      </c>
      <c r="M52" s="1812">
        <f t="shared" si="22"/>
        <v>0</v>
      </c>
      <c r="N52" s="1812">
        <f t="shared" si="22"/>
        <v>0</v>
      </c>
      <c r="O52" s="1812">
        <f t="shared" si="22"/>
        <v>0</v>
      </c>
      <c r="P52" s="1812">
        <f t="shared" si="22"/>
        <v>0</v>
      </c>
      <c r="Q52" s="1812">
        <f t="shared" si="22"/>
        <v>0</v>
      </c>
    </row>
    <row r="53" spans="3:17" hidden="1">
      <c r="C53" s="1814"/>
      <c r="D53" s="1816" t="s">
        <v>3064</v>
      </c>
      <c r="E53" s="1816"/>
      <c r="F53" s="1817"/>
      <c r="G53" s="1806">
        <f t="shared" si="3"/>
        <v>84</v>
      </c>
      <c r="H53" s="1818">
        <f>CO2計算!$F$22</f>
        <v>0</v>
      </c>
      <c r="I53" s="1812">
        <f t="shared" ref="I53:Q53" si="23">(I49-I51)*$H53</f>
        <v>0</v>
      </c>
      <c r="J53" s="1812">
        <f t="shared" si="23"/>
        <v>0</v>
      </c>
      <c r="K53" s="1812">
        <f t="shared" si="23"/>
        <v>0</v>
      </c>
      <c r="L53" s="1812">
        <f t="shared" si="23"/>
        <v>0</v>
      </c>
      <c r="M53" s="1812">
        <f t="shared" si="23"/>
        <v>0</v>
      </c>
      <c r="N53" s="1812">
        <f t="shared" si="23"/>
        <v>0</v>
      </c>
      <c r="O53" s="1812">
        <f t="shared" si="23"/>
        <v>0</v>
      </c>
      <c r="P53" s="1812">
        <f t="shared" si="23"/>
        <v>0</v>
      </c>
      <c r="Q53" s="1812">
        <f t="shared" si="23"/>
        <v>0</v>
      </c>
    </row>
    <row r="54" spans="3:17" hidden="1">
      <c r="C54" s="1820"/>
      <c r="D54" s="1816" t="s">
        <v>530</v>
      </c>
      <c r="E54" s="1816"/>
      <c r="F54" s="1817"/>
      <c r="G54" s="1806">
        <f t="shared" si="3"/>
        <v>85</v>
      </c>
      <c r="H54" s="1822"/>
      <c r="I54" s="1812">
        <f t="shared" ref="I54:Q54" si="24">I49-I52-I53</f>
        <v>11.119000000000002</v>
      </c>
      <c r="J54" s="1812">
        <f t="shared" si="24"/>
        <v>11.119000000000002</v>
      </c>
      <c r="K54" s="1812">
        <f t="shared" si="24"/>
        <v>11.119000000000002</v>
      </c>
      <c r="L54" s="1812">
        <f t="shared" si="24"/>
        <v>12.770000000000001</v>
      </c>
      <c r="M54" s="1812">
        <f t="shared" si="24"/>
        <v>12.770000000000001</v>
      </c>
      <c r="N54" s="1812">
        <f t="shared" si="24"/>
        <v>12.770000000000001</v>
      </c>
      <c r="O54" s="1812">
        <f t="shared" si="24"/>
        <v>13.53</v>
      </c>
      <c r="P54" s="1812">
        <f t="shared" si="24"/>
        <v>13.53</v>
      </c>
      <c r="Q54" s="1812">
        <f t="shared" si="24"/>
        <v>13.53</v>
      </c>
    </row>
    <row r="55" spans="3:17">
      <c r="C55" s="1807" t="s">
        <v>2269</v>
      </c>
      <c r="D55" s="1800"/>
      <c r="E55" s="1800"/>
      <c r="F55" s="1801"/>
      <c r="G55" s="1806">
        <f t="shared" si="3"/>
        <v>90</v>
      </c>
      <c r="H55" s="1806"/>
      <c r="I55" s="1809">
        <v>15.641</v>
      </c>
      <c r="J55" s="1809">
        <v>7.8210000000000006</v>
      </c>
      <c r="K55" s="1809">
        <v>5.2140000000000004</v>
      </c>
      <c r="L55" s="1809">
        <v>19.619999999999997</v>
      </c>
      <c r="M55" s="1809">
        <v>9.8079999999999998</v>
      </c>
      <c r="N55" s="1809">
        <v>6.5390000000000006</v>
      </c>
      <c r="O55" s="1809">
        <v>22.378</v>
      </c>
      <c r="P55" s="1809">
        <v>11.187999999999999</v>
      </c>
      <c r="Q55" s="1809">
        <v>7.4590000000000005</v>
      </c>
    </row>
    <row r="56" spans="3:17">
      <c r="C56" s="1810"/>
      <c r="D56" s="978" t="s">
        <v>2622</v>
      </c>
      <c r="E56" s="978"/>
      <c r="F56" s="1811">
        <v>1</v>
      </c>
      <c r="G56" s="1806">
        <f t="shared" si="3"/>
        <v>91</v>
      </c>
      <c r="H56" s="1806"/>
      <c r="I56" s="1812">
        <v>9.0940000000000012</v>
      </c>
      <c r="J56" s="1812">
        <v>4.5460000000000003</v>
      </c>
      <c r="K56" s="1812">
        <v>3.0309999999999997</v>
      </c>
      <c r="L56" s="1812">
        <v>8.8330000000000002</v>
      </c>
      <c r="M56" s="1812">
        <v>4.4160000000000004</v>
      </c>
      <c r="N56" s="1812">
        <v>2.9430000000000001</v>
      </c>
      <c r="O56" s="1812">
        <v>8.7469999999999999</v>
      </c>
      <c r="P56" s="1812">
        <v>4.3730000000000002</v>
      </c>
      <c r="Q56" s="1812">
        <v>2.915</v>
      </c>
    </row>
    <row r="57" spans="3:17">
      <c r="C57" s="1810"/>
      <c r="D57" s="978" t="s">
        <v>2623</v>
      </c>
      <c r="E57" s="978"/>
      <c r="F57" s="1811">
        <v>1</v>
      </c>
      <c r="G57" s="1806">
        <f t="shared" si="3"/>
        <v>92</v>
      </c>
      <c r="H57" s="1813"/>
      <c r="I57" s="1812">
        <v>14.974</v>
      </c>
      <c r="J57" s="1812">
        <v>7.4880000000000004</v>
      </c>
      <c r="K57" s="1812">
        <v>4.9910000000000005</v>
      </c>
      <c r="L57" s="1812">
        <v>18.148999999999997</v>
      </c>
      <c r="M57" s="1812">
        <v>9.0730000000000004</v>
      </c>
      <c r="N57" s="1812">
        <v>6.0490000000000004</v>
      </c>
      <c r="O57" s="1812">
        <v>20.89</v>
      </c>
      <c r="P57" s="1812">
        <v>10.443999999999999</v>
      </c>
      <c r="Q57" s="1812">
        <v>6.9620000000000006</v>
      </c>
    </row>
    <row r="58" spans="3:17" ht="13.5" hidden="1" customHeight="1">
      <c r="C58" s="1814"/>
      <c r="D58" s="1815"/>
      <c r="E58" s="1816" t="s">
        <v>3063</v>
      </c>
      <c r="F58" s="1817"/>
      <c r="G58" s="1806">
        <f t="shared" si="3"/>
        <v>93</v>
      </c>
      <c r="H58" s="1818">
        <f>CO2計算!$F$21</f>
        <v>0</v>
      </c>
      <c r="I58" s="1812">
        <f>(I55-I56)*$H58</f>
        <v>0</v>
      </c>
      <c r="J58" s="1812">
        <f t="shared" ref="J58:Q58" si="25">(J55-J56)*$H58</f>
        <v>0</v>
      </c>
      <c r="K58" s="1812">
        <f t="shared" si="25"/>
        <v>0</v>
      </c>
      <c r="L58" s="1812">
        <f t="shared" si="25"/>
        <v>0</v>
      </c>
      <c r="M58" s="1812">
        <f t="shared" si="25"/>
        <v>0</v>
      </c>
      <c r="N58" s="1812">
        <f t="shared" si="25"/>
        <v>0</v>
      </c>
      <c r="O58" s="1812">
        <f t="shared" si="25"/>
        <v>0</v>
      </c>
      <c r="P58" s="1812">
        <f t="shared" si="25"/>
        <v>0</v>
      </c>
      <c r="Q58" s="1812">
        <f t="shared" si="25"/>
        <v>0</v>
      </c>
    </row>
    <row r="59" spans="3:17" ht="13.5" hidden="1" customHeight="1">
      <c r="C59" s="1814"/>
      <c r="D59" s="1804"/>
      <c r="E59" s="1816" t="s">
        <v>3064</v>
      </c>
      <c r="F59" s="1817"/>
      <c r="G59" s="1806">
        <f t="shared" si="3"/>
        <v>94</v>
      </c>
      <c r="H59" s="1818">
        <f>CO2計算!$F$22</f>
        <v>0</v>
      </c>
      <c r="I59" s="1812">
        <f t="shared" ref="I59:Q59" si="26">(I55-I57)*$H59</f>
        <v>0</v>
      </c>
      <c r="J59" s="1812">
        <f t="shared" si="26"/>
        <v>0</v>
      </c>
      <c r="K59" s="1812">
        <f t="shared" si="26"/>
        <v>0</v>
      </c>
      <c r="L59" s="1812">
        <f t="shared" si="26"/>
        <v>0</v>
      </c>
      <c r="M59" s="1812">
        <f t="shared" si="26"/>
        <v>0</v>
      </c>
      <c r="N59" s="1812">
        <f t="shared" si="26"/>
        <v>0</v>
      </c>
      <c r="O59" s="1812">
        <f t="shared" si="26"/>
        <v>0</v>
      </c>
      <c r="P59" s="1812">
        <f t="shared" si="26"/>
        <v>0</v>
      </c>
      <c r="Q59" s="1812">
        <f t="shared" si="26"/>
        <v>0</v>
      </c>
    </row>
    <row r="60" spans="3:17" ht="13.5" hidden="1" customHeight="1">
      <c r="C60" s="1820"/>
      <c r="D60" s="1821"/>
      <c r="E60" s="1816" t="s">
        <v>530</v>
      </c>
      <c r="F60" s="1817"/>
      <c r="G60" s="1806">
        <f t="shared" si="3"/>
        <v>95</v>
      </c>
      <c r="H60" s="1822"/>
      <c r="I60" s="1812">
        <f t="shared" ref="I60:Q60" si="27">I55-I58-I59</f>
        <v>15.641</v>
      </c>
      <c r="J60" s="1812">
        <f t="shared" si="27"/>
        <v>7.8210000000000006</v>
      </c>
      <c r="K60" s="1812">
        <f t="shared" si="27"/>
        <v>5.2140000000000004</v>
      </c>
      <c r="L60" s="1812">
        <f t="shared" si="27"/>
        <v>19.619999999999997</v>
      </c>
      <c r="M60" s="1812">
        <f t="shared" si="27"/>
        <v>9.8079999999999998</v>
      </c>
      <c r="N60" s="1812">
        <f t="shared" si="27"/>
        <v>6.5390000000000006</v>
      </c>
      <c r="O60" s="1812">
        <f t="shared" si="27"/>
        <v>22.378</v>
      </c>
      <c r="P60" s="1812">
        <f t="shared" si="27"/>
        <v>11.187999999999999</v>
      </c>
      <c r="Q60" s="1812">
        <f t="shared" si="27"/>
        <v>7.4590000000000005</v>
      </c>
    </row>
    <row r="61" spans="3:17">
      <c r="C61" s="1823"/>
      <c r="D61" s="1823"/>
      <c r="E61" s="1789"/>
      <c r="F61" s="1789"/>
      <c r="G61" s="1789"/>
      <c r="H61" s="1789"/>
      <c r="I61" s="1789"/>
      <c r="J61" s="1789"/>
      <c r="K61" s="1789"/>
      <c r="L61" s="1789"/>
      <c r="M61" s="1789"/>
      <c r="N61" s="1789"/>
      <c r="O61" s="1789"/>
      <c r="P61" s="1789"/>
      <c r="Q61" s="1789"/>
    </row>
    <row r="62" spans="3:17">
      <c r="C62" s="1787" t="s">
        <v>3065</v>
      </c>
      <c r="D62" s="1788"/>
      <c r="E62" s="1789"/>
      <c r="F62" s="1789"/>
      <c r="G62" s="1789"/>
      <c r="H62" s="1789"/>
      <c r="I62" s="1790" t="s">
        <v>357</v>
      </c>
      <c r="J62" s="1791"/>
      <c r="K62" s="1791"/>
      <c r="L62" s="1792"/>
      <c r="M62" s="1792"/>
      <c r="N62" s="1792"/>
      <c r="O62" s="1792"/>
      <c r="P62" s="1792"/>
      <c r="Q62" s="1793"/>
    </row>
    <row r="63" spans="3:17">
      <c r="C63" s="1794"/>
      <c r="D63" s="1795" t="s">
        <v>3061</v>
      </c>
      <c r="E63" s="1794"/>
      <c r="F63" s="1794"/>
      <c r="G63" s="1794"/>
      <c r="H63" s="1794"/>
      <c r="I63" s="1796" t="s">
        <v>849</v>
      </c>
      <c r="J63" s="1792" t="s">
        <v>851</v>
      </c>
      <c r="K63" s="1797"/>
      <c r="L63" s="1796" t="s">
        <v>848</v>
      </c>
      <c r="M63" s="1792"/>
      <c r="N63" s="1797"/>
      <c r="O63" s="1796" t="s">
        <v>850</v>
      </c>
      <c r="P63" s="1792"/>
      <c r="Q63" s="1797"/>
    </row>
    <row r="64" spans="3:17">
      <c r="C64" s="1798" t="s">
        <v>467</v>
      </c>
      <c r="D64" s="1799"/>
      <c r="E64" s="1800"/>
      <c r="F64" s="1801"/>
      <c r="G64" s="1824"/>
      <c r="H64" s="1824"/>
      <c r="I64" s="1803" t="s">
        <v>576</v>
      </c>
      <c r="J64" s="1803" t="s">
        <v>577</v>
      </c>
      <c r="K64" s="1803" t="s">
        <v>578</v>
      </c>
      <c r="L64" s="1803" t="s">
        <v>576</v>
      </c>
      <c r="M64" s="1803" t="s">
        <v>577</v>
      </c>
      <c r="N64" s="1803" t="s">
        <v>578</v>
      </c>
      <c r="O64" s="1803" t="s">
        <v>576</v>
      </c>
      <c r="P64" s="1803" t="s">
        <v>577</v>
      </c>
      <c r="Q64" s="1803" t="s">
        <v>578</v>
      </c>
    </row>
    <row r="65" spans="3:17">
      <c r="C65" s="1807" t="s">
        <v>512</v>
      </c>
      <c r="D65" s="1808"/>
      <c r="E65" s="1825"/>
      <c r="F65" s="1826"/>
      <c r="G65" s="1827">
        <v>1</v>
      </c>
      <c r="H65" s="1827"/>
      <c r="I65" s="1828">
        <v>15.990999999999998</v>
      </c>
      <c r="J65" s="1828">
        <v>15.990999999999998</v>
      </c>
      <c r="K65" s="1828">
        <v>15.990999999999998</v>
      </c>
      <c r="L65" s="1828">
        <v>16.456</v>
      </c>
      <c r="M65" s="1828">
        <v>16.456</v>
      </c>
      <c r="N65" s="1828">
        <v>16.456</v>
      </c>
      <c r="O65" s="1828">
        <v>16.21</v>
      </c>
      <c r="P65" s="1828">
        <v>16.21</v>
      </c>
      <c r="Q65" s="1828">
        <v>16.21</v>
      </c>
    </row>
    <row r="66" spans="3:17" ht="13.5" hidden="1" customHeight="1">
      <c r="C66" s="1810"/>
      <c r="D66" s="978" t="s">
        <v>2622</v>
      </c>
      <c r="E66" s="978"/>
      <c r="F66" s="1811">
        <v>1</v>
      </c>
      <c r="G66" s="1827"/>
      <c r="H66" s="1827"/>
      <c r="I66" s="1828"/>
      <c r="J66" s="1828"/>
      <c r="K66" s="1828"/>
      <c r="L66" s="1828"/>
      <c r="M66" s="1828"/>
      <c r="N66" s="1828"/>
      <c r="O66" s="1828"/>
      <c r="P66" s="1828"/>
      <c r="Q66" s="1828"/>
    </row>
    <row r="67" spans="3:17" ht="13.5" hidden="1" customHeight="1">
      <c r="C67" s="1810"/>
      <c r="D67" s="1816" t="s">
        <v>3066</v>
      </c>
      <c r="E67" s="1816"/>
      <c r="F67" s="1829"/>
      <c r="G67" s="1822"/>
      <c r="H67" s="1830">
        <v>0</v>
      </c>
      <c r="I67" s="1828">
        <f>I65-(I65-I66)*$H67</f>
        <v>15.990999999999998</v>
      </c>
      <c r="J67" s="1828">
        <f t="shared" ref="J67:Q67" si="28">J65-(J65-J66)*$H67</f>
        <v>15.990999999999998</v>
      </c>
      <c r="K67" s="1828">
        <f t="shared" si="28"/>
        <v>15.990999999999998</v>
      </c>
      <c r="L67" s="1828">
        <f t="shared" si="28"/>
        <v>16.456</v>
      </c>
      <c r="M67" s="1828">
        <f t="shared" si="28"/>
        <v>16.456</v>
      </c>
      <c r="N67" s="1828">
        <f t="shared" si="28"/>
        <v>16.456</v>
      </c>
      <c r="O67" s="1828">
        <f t="shared" si="28"/>
        <v>16.21</v>
      </c>
      <c r="P67" s="1828">
        <f t="shared" si="28"/>
        <v>16.21</v>
      </c>
      <c r="Q67" s="1828">
        <f t="shared" si="28"/>
        <v>16.21</v>
      </c>
    </row>
    <row r="68" spans="3:17">
      <c r="C68" s="1807" t="s">
        <v>1918</v>
      </c>
      <c r="D68" s="1825"/>
      <c r="E68" s="1825"/>
      <c r="F68" s="1826"/>
      <c r="G68" s="1827">
        <v>2</v>
      </c>
      <c r="H68" s="1827"/>
      <c r="I68" s="1828">
        <v>11.802</v>
      </c>
      <c r="J68" s="1828">
        <v>11.802</v>
      </c>
      <c r="K68" s="1828">
        <v>11.802</v>
      </c>
      <c r="L68" s="1828">
        <v>12.423999999999999</v>
      </c>
      <c r="M68" s="1828">
        <v>12.423999999999999</v>
      </c>
      <c r="N68" s="1828">
        <v>12.423999999999999</v>
      </c>
      <c r="O68" s="1828">
        <v>12.306000000000001</v>
      </c>
      <c r="P68" s="1828">
        <v>12.306000000000001</v>
      </c>
      <c r="Q68" s="1828">
        <v>12.306000000000001</v>
      </c>
    </row>
    <row r="69" spans="3:17" hidden="1">
      <c r="C69" s="1810"/>
      <c r="D69" s="978" t="s">
        <v>2622</v>
      </c>
      <c r="E69" s="978"/>
      <c r="F69" s="1811">
        <v>1</v>
      </c>
      <c r="G69" s="1827"/>
      <c r="H69" s="1827"/>
      <c r="I69" s="1828"/>
      <c r="J69" s="1828"/>
      <c r="K69" s="1828"/>
      <c r="L69" s="1828"/>
      <c r="M69" s="1828"/>
      <c r="N69" s="1828"/>
      <c r="O69" s="1828"/>
      <c r="P69" s="1828"/>
      <c r="Q69" s="1828"/>
    </row>
    <row r="70" spans="3:17" hidden="1">
      <c r="C70" s="1810"/>
      <c r="D70" s="1816" t="s">
        <v>3066</v>
      </c>
      <c r="E70" s="1816"/>
      <c r="F70" s="1829"/>
      <c r="G70" s="1822"/>
      <c r="H70" s="1830">
        <v>0</v>
      </c>
      <c r="I70" s="1828">
        <f t="shared" ref="I70:Q70" si="29">I68-(I68-I69)*$H70</f>
        <v>11.802</v>
      </c>
      <c r="J70" s="1828">
        <f t="shared" si="29"/>
        <v>11.802</v>
      </c>
      <c r="K70" s="1828">
        <f t="shared" si="29"/>
        <v>11.802</v>
      </c>
      <c r="L70" s="1828">
        <f t="shared" si="29"/>
        <v>12.423999999999999</v>
      </c>
      <c r="M70" s="1828">
        <f t="shared" si="29"/>
        <v>12.423999999999999</v>
      </c>
      <c r="N70" s="1828">
        <f t="shared" si="29"/>
        <v>12.423999999999999</v>
      </c>
      <c r="O70" s="1828">
        <f t="shared" si="29"/>
        <v>12.306000000000001</v>
      </c>
      <c r="P70" s="1828">
        <f t="shared" si="29"/>
        <v>12.306000000000001</v>
      </c>
      <c r="Q70" s="1828">
        <f t="shared" si="29"/>
        <v>12.306000000000001</v>
      </c>
    </row>
    <row r="71" spans="3:17">
      <c r="C71" s="1807" t="s">
        <v>2126</v>
      </c>
      <c r="D71" s="1825"/>
      <c r="E71" s="1825"/>
      <c r="F71" s="1826"/>
      <c r="G71" s="1827">
        <v>3</v>
      </c>
      <c r="H71" s="1827"/>
      <c r="I71" s="1828">
        <v>6.88</v>
      </c>
      <c r="J71" s="1828">
        <v>6.88</v>
      </c>
      <c r="K71" s="1828">
        <v>6.88</v>
      </c>
      <c r="L71" s="1828">
        <v>7.7379999999999995</v>
      </c>
      <c r="M71" s="1828">
        <v>7.7379999999999995</v>
      </c>
      <c r="N71" s="1828">
        <v>7.7379999999999995</v>
      </c>
      <c r="O71" s="1828">
        <v>6.91</v>
      </c>
      <c r="P71" s="1828">
        <v>6.91</v>
      </c>
      <c r="Q71" s="1828">
        <v>6.91</v>
      </c>
    </row>
    <row r="72" spans="3:17" hidden="1">
      <c r="C72" s="1810"/>
      <c r="D72" s="978" t="s">
        <v>2622</v>
      </c>
      <c r="E72" s="978"/>
      <c r="F72" s="1811">
        <v>1</v>
      </c>
      <c r="G72" s="1827"/>
      <c r="H72" s="1827"/>
      <c r="I72" s="1828"/>
      <c r="J72" s="1828"/>
      <c r="K72" s="1828"/>
      <c r="L72" s="1828"/>
      <c r="M72" s="1828"/>
      <c r="N72" s="1828"/>
      <c r="O72" s="1828"/>
      <c r="P72" s="1828"/>
      <c r="Q72" s="1828"/>
    </row>
    <row r="73" spans="3:17" hidden="1">
      <c r="C73" s="1810"/>
      <c r="D73" s="1816" t="s">
        <v>3066</v>
      </c>
      <c r="E73" s="1816"/>
      <c r="F73" s="1829"/>
      <c r="G73" s="1822"/>
      <c r="H73" s="1830">
        <v>0</v>
      </c>
      <c r="I73" s="1828">
        <f>I71-(I71-I72)*$H73</f>
        <v>6.88</v>
      </c>
      <c r="J73" s="1828">
        <f>J71-(J71-J72)*$H73</f>
        <v>6.88</v>
      </c>
      <c r="K73" s="1828">
        <f>K71-(K71-K72)*$H73</f>
        <v>6.88</v>
      </c>
      <c r="L73" s="1828">
        <v>13.193999999999999</v>
      </c>
      <c r="M73" s="1828">
        <v>13.193999999999999</v>
      </c>
      <c r="N73" s="1828">
        <v>13.193999999999999</v>
      </c>
      <c r="O73" s="1828">
        <f>O71-(O71-O72)*$H73</f>
        <v>6.91</v>
      </c>
      <c r="P73" s="1828">
        <f>P71-(P71-P72)*$H73</f>
        <v>6.91</v>
      </c>
      <c r="Q73" s="1828">
        <f>Q71-(Q71-Q72)*$H73</f>
        <v>6.91</v>
      </c>
    </row>
    <row r="74" spans="3:17">
      <c r="C74" s="1807" t="s">
        <v>2268</v>
      </c>
      <c r="D74" s="1825"/>
      <c r="E74" s="1825"/>
      <c r="F74" s="1826"/>
      <c r="G74" s="1827">
        <v>4</v>
      </c>
      <c r="H74" s="1827"/>
      <c r="I74" s="1828">
        <v>6.88</v>
      </c>
      <c r="J74" s="1828">
        <v>6.88</v>
      </c>
      <c r="K74" s="1828">
        <v>6.88</v>
      </c>
      <c r="L74" s="1828">
        <v>7.7379999999999995</v>
      </c>
      <c r="M74" s="1828">
        <v>7.7379999999999995</v>
      </c>
      <c r="N74" s="1828">
        <v>7.7379999999999995</v>
      </c>
      <c r="O74" s="1828">
        <v>6.91</v>
      </c>
      <c r="P74" s="1828">
        <v>6.91</v>
      </c>
      <c r="Q74" s="1828">
        <v>6.91</v>
      </c>
    </row>
    <row r="75" spans="3:17" hidden="1">
      <c r="C75" s="1810"/>
      <c r="D75" s="978" t="s">
        <v>2622</v>
      </c>
      <c r="E75" s="978"/>
      <c r="F75" s="1811">
        <v>1</v>
      </c>
      <c r="G75" s="1827"/>
      <c r="H75" s="1827"/>
      <c r="I75" s="1828"/>
      <c r="J75" s="1828"/>
      <c r="K75" s="1828"/>
      <c r="L75" s="1828"/>
      <c r="M75" s="1828"/>
      <c r="N75" s="1828"/>
      <c r="O75" s="1828"/>
      <c r="P75" s="1828"/>
      <c r="Q75" s="1828"/>
    </row>
    <row r="76" spans="3:17" hidden="1">
      <c r="C76" s="1810"/>
      <c r="D76" s="1816" t="s">
        <v>3066</v>
      </c>
      <c r="E76" s="1816"/>
      <c r="F76" s="1829"/>
      <c r="G76" s="1822"/>
      <c r="H76" s="1830">
        <v>0</v>
      </c>
      <c r="I76" s="1828">
        <f t="shared" ref="I76:Q76" si="30">I74-(I74-I75)*$H76</f>
        <v>6.88</v>
      </c>
      <c r="J76" s="1828">
        <f t="shared" si="30"/>
        <v>6.88</v>
      </c>
      <c r="K76" s="1828">
        <f t="shared" si="30"/>
        <v>6.88</v>
      </c>
      <c r="L76" s="1828">
        <f t="shared" si="30"/>
        <v>7.7379999999999995</v>
      </c>
      <c r="M76" s="1828">
        <f t="shared" si="30"/>
        <v>7.7379999999999995</v>
      </c>
      <c r="N76" s="1828">
        <f t="shared" si="30"/>
        <v>7.7379999999999995</v>
      </c>
      <c r="O76" s="1828">
        <f t="shared" si="30"/>
        <v>6.91</v>
      </c>
      <c r="P76" s="1828">
        <f t="shared" si="30"/>
        <v>6.91</v>
      </c>
      <c r="Q76" s="1828">
        <f t="shared" si="30"/>
        <v>6.91</v>
      </c>
    </row>
    <row r="77" spans="3:17">
      <c r="C77" s="1807" t="s">
        <v>2128</v>
      </c>
      <c r="D77" s="1825"/>
      <c r="E77" s="1825"/>
      <c r="F77" s="1826"/>
      <c r="G77" s="1827">
        <v>5</v>
      </c>
      <c r="H77" s="1827"/>
      <c r="I77" s="1828">
        <v>12.809999999999999</v>
      </c>
      <c r="J77" s="1828">
        <v>12.809999999999999</v>
      </c>
      <c r="K77" s="1828">
        <v>12.809999999999999</v>
      </c>
      <c r="L77" s="1828">
        <v>13.426</v>
      </c>
      <c r="M77" s="1828">
        <v>13.426</v>
      </c>
      <c r="N77" s="1828">
        <v>13.426</v>
      </c>
      <c r="O77" s="1828">
        <v>13.251000000000001</v>
      </c>
      <c r="P77" s="1828">
        <v>13.251000000000001</v>
      </c>
      <c r="Q77" s="1828">
        <v>13.251000000000001</v>
      </c>
    </row>
    <row r="78" spans="3:17" hidden="1">
      <c r="C78" s="1810"/>
      <c r="D78" s="978" t="s">
        <v>2622</v>
      </c>
      <c r="E78" s="978"/>
      <c r="F78" s="1811">
        <v>1</v>
      </c>
      <c r="G78" s="1827"/>
      <c r="H78" s="1827"/>
      <c r="I78" s="1828"/>
      <c r="J78" s="1828"/>
      <c r="K78" s="1828"/>
      <c r="L78" s="1828"/>
      <c r="M78" s="1828"/>
      <c r="N78" s="1828"/>
      <c r="O78" s="1828"/>
      <c r="P78" s="1828"/>
      <c r="Q78" s="1828"/>
    </row>
    <row r="79" spans="3:17" hidden="1">
      <c r="C79" s="1810"/>
      <c r="D79" s="1816" t="s">
        <v>3066</v>
      </c>
      <c r="E79" s="1816"/>
      <c r="F79" s="1829"/>
      <c r="G79" s="1822"/>
      <c r="H79" s="1830">
        <v>0</v>
      </c>
      <c r="I79" s="1828">
        <f t="shared" ref="I79:Q79" si="31">I77-(I77-I78)*$H79</f>
        <v>12.809999999999999</v>
      </c>
      <c r="J79" s="1828">
        <f t="shared" si="31"/>
        <v>12.809999999999999</v>
      </c>
      <c r="K79" s="1828">
        <f t="shared" si="31"/>
        <v>12.809999999999999</v>
      </c>
      <c r="L79" s="1828">
        <f t="shared" si="31"/>
        <v>13.426</v>
      </c>
      <c r="M79" s="1828">
        <f t="shared" si="31"/>
        <v>13.426</v>
      </c>
      <c r="N79" s="1828">
        <f t="shared" si="31"/>
        <v>13.426</v>
      </c>
      <c r="O79" s="1828">
        <f t="shared" si="31"/>
        <v>13.251000000000001</v>
      </c>
      <c r="P79" s="1828">
        <f t="shared" si="31"/>
        <v>13.251000000000001</v>
      </c>
      <c r="Q79" s="1828">
        <f t="shared" si="31"/>
        <v>13.251000000000001</v>
      </c>
    </row>
    <row r="80" spans="3:17">
      <c r="C80" s="1807" t="s">
        <v>528</v>
      </c>
      <c r="D80" s="1800"/>
      <c r="E80" s="1800"/>
      <c r="F80" s="1826"/>
      <c r="G80" s="1827">
        <v>6</v>
      </c>
      <c r="H80" s="1827"/>
      <c r="I80" s="1828">
        <v>8.6499999999999986</v>
      </c>
      <c r="J80" s="1828">
        <v>8.6499999999999986</v>
      </c>
      <c r="K80" s="1828">
        <v>8.6499999999999986</v>
      </c>
      <c r="L80" s="1828">
        <v>9.4220000000000006</v>
      </c>
      <c r="M80" s="1828">
        <v>9.4220000000000006</v>
      </c>
      <c r="N80" s="1828">
        <v>9.4220000000000006</v>
      </c>
      <c r="O80" s="1828">
        <v>9.0609999999999999</v>
      </c>
      <c r="P80" s="1828">
        <v>9.0609999999999999</v>
      </c>
      <c r="Q80" s="1828">
        <v>9.0609999999999999</v>
      </c>
    </row>
    <row r="81" spans="3:21" hidden="1">
      <c r="C81" s="1810"/>
      <c r="D81" s="978" t="s">
        <v>2622</v>
      </c>
      <c r="E81" s="978"/>
      <c r="F81" s="1811">
        <v>1</v>
      </c>
      <c r="G81" s="1827"/>
      <c r="H81" s="1827"/>
      <c r="I81" s="1828"/>
      <c r="J81" s="1828"/>
      <c r="K81" s="1828"/>
      <c r="L81" s="1828"/>
      <c r="M81" s="1828"/>
      <c r="N81" s="1828"/>
      <c r="O81" s="1828"/>
      <c r="P81" s="1828"/>
      <c r="Q81" s="1828"/>
    </row>
    <row r="82" spans="3:21" hidden="1">
      <c r="C82" s="1831"/>
      <c r="D82" s="1816" t="s">
        <v>3066</v>
      </c>
      <c r="E82" s="1816"/>
      <c r="F82" s="1829"/>
      <c r="G82" s="1822"/>
      <c r="H82" s="1830">
        <v>0</v>
      </c>
      <c r="I82" s="1828">
        <f t="shared" ref="I82:Q82" si="32">I80-(I80-I81)*$H82</f>
        <v>8.6499999999999986</v>
      </c>
      <c r="J82" s="1828">
        <f t="shared" si="32"/>
        <v>8.6499999999999986</v>
      </c>
      <c r="K82" s="1828">
        <f t="shared" si="32"/>
        <v>8.6499999999999986</v>
      </c>
      <c r="L82" s="1828">
        <f t="shared" si="32"/>
        <v>9.4220000000000006</v>
      </c>
      <c r="M82" s="1828">
        <f t="shared" si="32"/>
        <v>9.4220000000000006</v>
      </c>
      <c r="N82" s="1828">
        <f t="shared" si="32"/>
        <v>9.4220000000000006</v>
      </c>
      <c r="O82" s="1828">
        <f t="shared" si="32"/>
        <v>9.0609999999999999</v>
      </c>
      <c r="P82" s="1828">
        <f t="shared" si="32"/>
        <v>9.0609999999999999</v>
      </c>
      <c r="Q82" s="1828">
        <f t="shared" si="32"/>
        <v>9.0609999999999999</v>
      </c>
    </row>
    <row r="83" spans="3:21">
      <c r="C83" s="1807" t="s">
        <v>2130</v>
      </c>
      <c r="D83" s="1825"/>
      <c r="E83" s="1825"/>
      <c r="F83" s="1826"/>
      <c r="G83" s="1827">
        <v>7</v>
      </c>
      <c r="H83" s="1827"/>
      <c r="I83" s="1828">
        <v>15.425999999999998</v>
      </c>
      <c r="J83" s="1828">
        <v>15.425999999999998</v>
      </c>
      <c r="K83" s="1828">
        <v>15.425999999999998</v>
      </c>
      <c r="L83" s="1828">
        <v>16.053999999999998</v>
      </c>
      <c r="M83" s="1828">
        <v>16.053999999999998</v>
      </c>
      <c r="N83" s="1828">
        <v>16.053999999999998</v>
      </c>
      <c r="O83" s="1828">
        <v>15.893999999999998</v>
      </c>
      <c r="P83" s="1828">
        <v>15.893999999999998</v>
      </c>
      <c r="Q83" s="1828">
        <v>15.893999999999998</v>
      </c>
    </row>
    <row r="84" spans="3:21" hidden="1">
      <c r="C84" s="1810"/>
      <c r="D84" s="978" t="s">
        <v>2622</v>
      </c>
      <c r="E84" s="978"/>
      <c r="F84" s="1811">
        <v>1</v>
      </c>
      <c r="G84" s="1827"/>
      <c r="H84" s="1827"/>
      <c r="I84" s="1828"/>
      <c r="J84" s="1828"/>
      <c r="K84" s="1828"/>
      <c r="L84" s="1828"/>
      <c r="M84" s="1828"/>
      <c r="N84" s="1828"/>
      <c r="O84" s="1828"/>
      <c r="P84" s="1828"/>
      <c r="Q84" s="1828"/>
    </row>
    <row r="85" spans="3:21" hidden="1">
      <c r="C85" s="1810"/>
      <c r="D85" s="1816" t="s">
        <v>3066</v>
      </c>
      <c r="E85" s="1816"/>
      <c r="F85" s="1829"/>
      <c r="G85" s="1822"/>
      <c r="H85" s="1830">
        <v>0</v>
      </c>
      <c r="I85" s="1828">
        <f t="shared" ref="I85:Q85" si="33">I83-(I83-I84)*$H85</f>
        <v>15.425999999999998</v>
      </c>
      <c r="J85" s="1828">
        <f t="shared" si="33"/>
        <v>15.425999999999998</v>
      </c>
      <c r="K85" s="1828">
        <f t="shared" si="33"/>
        <v>15.425999999999998</v>
      </c>
      <c r="L85" s="1828">
        <f t="shared" si="33"/>
        <v>16.053999999999998</v>
      </c>
      <c r="M85" s="1828">
        <f t="shared" si="33"/>
        <v>16.053999999999998</v>
      </c>
      <c r="N85" s="1828">
        <f t="shared" si="33"/>
        <v>16.053999999999998</v>
      </c>
      <c r="O85" s="1828">
        <f t="shared" si="33"/>
        <v>15.893999999999998</v>
      </c>
      <c r="P85" s="1828">
        <f t="shared" si="33"/>
        <v>15.893999999999998</v>
      </c>
      <c r="Q85" s="1828">
        <f t="shared" si="33"/>
        <v>15.893999999999998</v>
      </c>
    </row>
    <row r="86" spans="3:21">
      <c r="C86" s="1807" t="s">
        <v>524</v>
      </c>
      <c r="D86" s="1825"/>
      <c r="E86" s="1825"/>
      <c r="F86" s="1826"/>
      <c r="G86" s="1827">
        <v>8</v>
      </c>
      <c r="H86" s="1827"/>
      <c r="I86" s="1828">
        <v>13.297999999999998</v>
      </c>
      <c r="J86" s="1828">
        <v>13.297999999999998</v>
      </c>
      <c r="K86" s="1828">
        <v>13.297999999999998</v>
      </c>
      <c r="L86" s="1828">
        <v>13.942</v>
      </c>
      <c r="M86" s="1828">
        <v>13.942</v>
      </c>
      <c r="N86" s="1828">
        <v>13.942</v>
      </c>
      <c r="O86" s="1828">
        <v>13.670999999999999</v>
      </c>
      <c r="P86" s="1828">
        <v>13.670999999999999</v>
      </c>
      <c r="Q86" s="1828">
        <v>13.670999999999999</v>
      </c>
    </row>
    <row r="87" spans="3:21" hidden="1">
      <c r="C87" s="1810"/>
      <c r="D87" s="978" t="s">
        <v>2622</v>
      </c>
      <c r="E87" s="978"/>
      <c r="F87" s="1811">
        <v>1</v>
      </c>
      <c r="G87" s="1827"/>
      <c r="H87" s="1827"/>
      <c r="I87" s="1832"/>
      <c r="J87" s="1832"/>
      <c r="K87" s="1832"/>
      <c r="L87" s="1832"/>
      <c r="M87" s="1832"/>
      <c r="N87" s="1832"/>
      <c r="O87" s="1832"/>
      <c r="P87" s="1832"/>
      <c r="Q87" s="1832"/>
    </row>
    <row r="88" spans="3:21" hidden="1">
      <c r="C88" s="1810"/>
      <c r="D88" s="1816" t="s">
        <v>3066</v>
      </c>
      <c r="E88" s="1816"/>
      <c r="F88" s="1829"/>
      <c r="G88" s="1822"/>
      <c r="H88" s="1830">
        <v>0</v>
      </c>
      <c r="I88" s="1828">
        <f t="shared" ref="I88:Q88" si="34">I86-(I86-I87)*$H88</f>
        <v>13.297999999999998</v>
      </c>
      <c r="J88" s="1828">
        <f t="shared" si="34"/>
        <v>13.297999999999998</v>
      </c>
      <c r="K88" s="1828">
        <f t="shared" si="34"/>
        <v>13.297999999999998</v>
      </c>
      <c r="L88" s="1828">
        <f t="shared" si="34"/>
        <v>13.942</v>
      </c>
      <c r="M88" s="1828">
        <f t="shared" si="34"/>
        <v>13.942</v>
      </c>
      <c r="N88" s="1828">
        <f t="shared" si="34"/>
        <v>13.942</v>
      </c>
      <c r="O88" s="1828">
        <f t="shared" si="34"/>
        <v>13.670999999999999</v>
      </c>
      <c r="P88" s="1828">
        <f t="shared" si="34"/>
        <v>13.670999999999999</v>
      </c>
      <c r="Q88" s="1828">
        <f t="shared" si="34"/>
        <v>13.670999999999999</v>
      </c>
    </row>
    <row r="89" spans="3:21">
      <c r="C89" s="1807" t="s">
        <v>2269</v>
      </c>
      <c r="D89" s="1800"/>
      <c r="E89" s="1800"/>
      <c r="F89" s="1826"/>
      <c r="G89" s="1827">
        <v>9</v>
      </c>
      <c r="H89" s="1827"/>
      <c r="I89" s="1832">
        <v>8.0190000000000001</v>
      </c>
      <c r="J89" s="1832">
        <v>9.7210000000000001</v>
      </c>
      <c r="K89" s="1832">
        <v>10.979000000000001</v>
      </c>
      <c r="L89" s="1832">
        <v>8.3709999999999987</v>
      </c>
      <c r="M89" s="1832">
        <v>9.7349999999999994</v>
      </c>
      <c r="N89" s="1832">
        <v>10.863</v>
      </c>
      <c r="O89" s="1832">
        <v>8.3640000000000008</v>
      </c>
      <c r="P89" s="1832">
        <v>9.68</v>
      </c>
      <c r="Q89" s="1832">
        <v>10.783000000000001</v>
      </c>
    </row>
    <row r="90" spans="3:21" ht="12.75" hidden="1" customHeight="1">
      <c r="C90" s="1810"/>
      <c r="D90" s="978" t="s">
        <v>2622</v>
      </c>
      <c r="E90" s="978"/>
      <c r="F90" s="1811">
        <v>1</v>
      </c>
      <c r="G90" s="1833"/>
      <c r="H90" s="1833"/>
      <c r="I90" s="1828"/>
      <c r="J90" s="1828"/>
      <c r="K90" s="1828"/>
      <c r="L90" s="1828"/>
      <c r="M90" s="1828"/>
      <c r="N90" s="1828"/>
      <c r="O90" s="1828"/>
      <c r="P90" s="1828"/>
      <c r="Q90" s="1828"/>
    </row>
    <row r="91" spans="3:21" hidden="1">
      <c r="C91" s="1831"/>
      <c r="D91" s="1816" t="s">
        <v>3066</v>
      </c>
      <c r="E91" s="1816"/>
      <c r="F91" s="1834"/>
      <c r="G91" s="1822"/>
      <c r="H91" s="1830">
        <v>0</v>
      </c>
      <c r="I91" s="1835">
        <f t="shared" ref="I91:Q91" si="35">I89-(I89-I90)*$H91</f>
        <v>8.0190000000000001</v>
      </c>
      <c r="J91" s="1835">
        <f t="shared" si="35"/>
        <v>9.7210000000000001</v>
      </c>
      <c r="K91" s="1835">
        <f t="shared" si="35"/>
        <v>10.979000000000001</v>
      </c>
      <c r="L91" s="1835">
        <f t="shared" si="35"/>
        <v>8.3709999999999987</v>
      </c>
      <c r="M91" s="1835">
        <f t="shared" si="35"/>
        <v>9.7349999999999994</v>
      </c>
      <c r="N91" s="1835">
        <f t="shared" si="35"/>
        <v>10.863</v>
      </c>
      <c r="O91" s="1835">
        <f t="shared" si="35"/>
        <v>8.3640000000000008</v>
      </c>
      <c r="P91" s="1835">
        <f t="shared" si="35"/>
        <v>9.68</v>
      </c>
      <c r="Q91" s="1835">
        <f t="shared" si="35"/>
        <v>10.783000000000001</v>
      </c>
    </row>
    <row r="92" spans="3:21">
      <c r="C92" s="1823"/>
      <c r="D92" s="1823"/>
      <c r="E92" s="1794"/>
      <c r="F92" s="1836"/>
      <c r="G92" s="1836"/>
      <c r="H92" s="1836"/>
      <c r="I92" s="1836"/>
      <c r="J92" s="1836"/>
      <c r="K92" s="1836"/>
      <c r="L92" s="1836"/>
      <c r="M92" s="1823"/>
      <c r="N92" s="1823"/>
      <c r="O92" s="1823"/>
      <c r="P92" s="1823"/>
      <c r="Q92" s="1823"/>
    </row>
    <row r="93" spans="3:21">
      <c r="C93" s="1787" t="s">
        <v>3067</v>
      </c>
      <c r="D93" s="1788"/>
      <c r="E93" s="1789"/>
      <c r="F93" s="1789"/>
      <c r="G93" s="1789"/>
      <c r="H93" s="1789"/>
      <c r="I93" s="1789"/>
      <c r="J93" s="1789"/>
      <c r="K93" s="1789"/>
      <c r="L93" s="1789"/>
      <c r="M93" s="1789"/>
      <c r="N93" s="1789"/>
      <c r="O93" s="1789"/>
      <c r="P93" s="1789"/>
      <c r="Q93" s="1789"/>
    </row>
    <row r="94" spans="3:21">
      <c r="C94" s="1795" t="s">
        <v>1885</v>
      </c>
      <c r="D94" s="1788"/>
      <c r="E94" s="1789"/>
      <c r="F94" s="1789"/>
      <c r="G94" s="1789"/>
      <c r="H94" s="1789"/>
      <c r="I94" s="1789"/>
      <c r="J94" s="1789"/>
      <c r="K94" s="1789"/>
      <c r="L94" s="1789"/>
      <c r="M94" s="1789"/>
      <c r="N94" s="1789"/>
      <c r="O94" s="1789"/>
      <c r="P94" s="1789"/>
      <c r="Q94" s="1789"/>
    </row>
    <row r="95" spans="3:21">
      <c r="D95" s="1789" t="s">
        <v>3068</v>
      </c>
      <c r="F95" s="2364" t="s">
        <v>1923</v>
      </c>
      <c r="G95" s="1789"/>
      <c r="H95" s="1789"/>
      <c r="I95" s="2352">
        <f>係数!D5*1000</f>
        <v>0.51600000000000001</v>
      </c>
      <c r="J95" s="1837" t="str">
        <f>係数!C5</f>
        <v>中部電力株式会社</v>
      </c>
      <c r="K95" s="1823"/>
      <c r="L95" s="1823"/>
      <c r="M95" s="1823" t="s">
        <v>1924</v>
      </c>
      <c r="N95" s="1823"/>
      <c r="O95" s="1823">
        <f>係数!J50*1000</f>
        <v>0.373</v>
      </c>
      <c r="P95" s="1823" t="s">
        <v>580</v>
      </c>
      <c r="Q95" s="1838"/>
    </row>
    <row r="96" spans="3:21">
      <c r="C96" s="1787"/>
      <c r="D96" s="1789"/>
      <c r="F96" s="2364" t="s">
        <v>1925</v>
      </c>
      <c r="G96" s="1789"/>
      <c r="H96" s="1789"/>
      <c r="I96" s="2352">
        <f>I95/J96</f>
        <v>5.2868852459016395E-2</v>
      </c>
      <c r="J96" s="1841">
        <v>9.76</v>
      </c>
      <c r="K96" s="1839" t="s">
        <v>2520</v>
      </c>
      <c r="L96" s="1789"/>
      <c r="M96" s="1789"/>
      <c r="N96" s="1789"/>
      <c r="O96" s="1789"/>
      <c r="P96" s="1789"/>
      <c r="Q96" s="1840"/>
      <c r="U96">
        <f>O95/J96</f>
        <v>3.8217213114754102E-2</v>
      </c>
    </row>
    <row r="97" spans="2:19">
      <c r="C97" s="1787"/>
      <c r="D97" s="1789" t="s">
        <v>1926</v>
      </c>
      <c r="F97" s="2364" t="s">
        <v>1925</v>
      </c>
      <c r="G97" s="1789"/>
      <c r="H97" s="1789"/>
      <c r="I97" s="2352">
        <v>4.9799999999999997E-2</v>
      </c>
      <c r="J97" s="1841"/>
      <c r="K97" s="1789"/>
      <c r="L97" s="1789"/>
      <c r="M97" s="1789"/>
      <c r="N97" s="1789"/>
      <c r="O97" s="1789"/>
      <c r="P97" s="1789"/>
      <c r="Q97" s="1840"/>
    </row>
    <row r="98" spans="2:19" hidden="1">
      <c r="C98" s="1787"/>
      <c r="D98" s="1789" t="s">
        <v>1927</v>
      </c>
      <c r="F98" s="2364" t="s">
        <v>1925</v>
      </c>
      <c r="G98" s="1789"/>
      <c r="H98" s="1789"/>
      <c r="I98" s="2352">
        <v>5.7000000000000002E-2</v>
      </c>
      <c r="J98" s="1841"/>
      <c r="K98" s="1789"/>
      <c r="L98" s="1789"/>
      <c r="M98" s="1789"/>
      <c r="N98" s="1789"/>
      <c r="O98" s="1789"/>
      <c r="P98" s="1789"/>
      <c r="Q98" s="1840"/>
    </row>
    <row r="99" spans="2:19">
      <c r="C99" s="1787"/>
      <c r="D99" s="1789" t="s">
        <v>1928</v>
      </c>
      <c r="F99" s="2364" t="s">
        <v>1925</v>
      </c>
      <c r="G99" s="1789"/>
      <c r="H99" s="1789"/>
      <c r="I99" s="2352">
        <v>6.7799999999999999E-2</v>
      </c>
      <c r="J99" s="1841"/>
      <c r="K99" s="1789"/>
      <c r="L99" s="1789"/>
      <c r="M99" s="1789"/>
      <c r="N99" s="1789"/>
      <c r="O99" s="1789"/>
      <c r="P99" s="1789"/>
      <c r="Q99" s="1840"/>
    </row>
    <row r="100" spans="2:19">
      <c r="C100" s="1787"/>
      <c r="D100" s="1789" t="s">
        <v>1929</v>
      </c>
      <c r="F100" s="2364" t="s">
        <v>1925</v>
      </c>
      <c r="G100" s="1789"/>
      <c r="H100" s="1789"/>
      <c r="I100" s="2352">
        <v>6.93E-2</v>
      </c>
      <c r="J100" s="1841"/>
      <c r="K100" s="1789"/>
      <c r="L100" s="1789"/>
      <c r="M100" s="1789"/>
      <c r="N100" s="1789"/>
      <c r="O100" s="1789"/>
      <c r="P100" s="1789"/>
      <c r="Q100" s="1840"/>
    </row>
    <row r="101" spans="2:19">
      <c r="C101" s="1787"/>
      <c r="D101" s="1789" t="s">
        <v>1930</v>
      </c>
      <c r="F101" s="2364" t="s">
        <v>1925</v>
      </c>
      <c r="G101" s="1789"/>
      <c r="H101" s="1789"/>
      <c r="I101" s="2352">
        <f>(I99+I100)/2</f>
        <v>6.855E-2</v>
      </c>
      <c r="J101" s="2353" t="s">
        <v>1931</v>
      </c>
      <c r="K101" s="1789"/>
      <c r="L101" s="1789"/>
      <c r="M101" s="1789"/>
      <c r="N101" s="1789"/>
      <c r="O101" s="1789"/>
      <c r="P101" s="1789"/>
      <c r="Q101" s="1840"/>
    </row>
    <row r="102" spans="2:19">
      <c r="C102" s="1787"/>
      <c r="D102" s="1789" t="s">
        <v>1749</v>
      </c>
      <c r="F102" s="2364" t="s">
        <v>1750</v>
      </c>
      <c r="G102" s="1789"/>
      <c r="H102" s="1789"/>
      <c r="I102" s="2352">
        <v>5.8999999999999997E-2</v>
      </c>
      <c r="J102" s="1842"/>
      <c r="K102" s="1843"/>
      <c r="L102" s="1843"/>
      <c r="M102" s="1843"/>
      <c r="N102" s="1843"/>
      <c r="O102" s="1843"/>
      <c r="P102" s="1843"/>
      <c r="Q102" s="1844"/>
    </row>
    <row r="103" spans="2:19">
      <c r="B103" s="946"/>
      <c r="C103" s="1789" t="s">
        <v>1465</v>
      </c>
      <c r="D103" s="946"/>
      <c r="E103" s="1789"/>
      <c r="F103" s="1789"/>
      <c r="G103" s="1789"/>
      <c r="H103" s="1789"/>
      <c r="I103" s="1845"/>
      <c r="J103" s="1789"/>
      <c r="K103" s="1789"/>
      <c r="L103" s="1789"/>
      <c r="M103" s="1789"/>
      <c r="N103" s="1789"/>
      <c r="O103" s="1789"/>
      <c r="P103" s="1789"/>
      <c r="Q103" s="1789"/>
      <c r="R103" s="946"/>
      <c r="S103" s="946"/>
    </row>
    <row r="104" spans="2:19">
      <c r="B104" s="946"/>
      <c r="C104" s="1788"/>
      <c r="D104" s="1789" t="s">
        <v>393</v>
      </c>
      <c r="E104" s="946"/>
      <c r="F104" s="1789"/>
      <c r="G104" s="1789"/>
      <c r="H104" s="1789"/>
      <c r="I104" s="1789" t="s">
        <v>1466</v>
      </c>
      <c r="J104" s="1789"/>
      <c r="K104" s="1795" t="s">
        <v>1467</v>
      </c>
      <c r="L104" s="1789"/>
      <c r="M104" s="1789"/>
      <c r="N104" s="1789"/>
      <c r="O104" s="1789"/>
      <c r="P104" s="1789"/>
      <c r="Q104" s="1789"/>
      <c r="R104" s="946"/>
      <c r="S104" s="946"/>
    </row>
    <row r="105" spans="2:19">
      <c r="B105" s="946"/>
      <c r="C105" s="1788"/>
      <c r="D105" s="1789" t="s">
        <v>2468</v>
      </c>
      <c r="E105" s="946"/>
      <c r="F105" s="1789"/>
      <c r="G105" s="1789"/>
      <c r="H105" s="1789"/>
      <c r="I105" s="1846">
        <v>6.8800000000000003E-4</v>
      </c>
      <c r="J105" s="1789"/>
      <c r="K105" s="1846">
        <v>6.8000000000000005E-4</v>
      </c>
      <c r="L105" s="1789"/>
      <c r="M105" s="1789"/>
      <c r="N105" s="1789"/>
      <c r="O105" s="1789"/>
      <c r="P105" s="1789"/>
      <c r="Q105" s="1789"/>
      <c r="R105" s="946"/>
      <c r="S105" s="946"/>
    </row>
    <row r="106" spans="2:19">
      <c r="B106" s="946"/>
      <c r="C106" s="1788"/>
      <c r="D106" s="1789" t="s">
        <v>2467</v>
      </c>
      <c r="E106" s="946"/>
      <c r="F106" s="1789"/>
      <c r="G106" s="1789"/>
      <c r="H106" s="1789"/>
      <c r="I106" s="1846">
        <v>5.9999999999999995E-4</v>
      </c>
      <c r="J106" s="1789"/>
      <c r="K106" s="1846">
        <v>5.5999999999999995E-4</v>
      </c>
      <c r="L106" s="1789"/>
      <c r="M106" s="1789"/>
      <c r="N106" s="1789"/>
      <c r="O106" s="1789"/>
      <c r="P106" s="1789"/>
      <c r="Q106" s="1789"/>
      <c r="R106" s="946"/>
      <c r="S106" s="946"/>
    </row>
    <row r="107" spans="2:19">
      <c r="B107" s="946"/>
      <c r="C107" s="1788"/>
      <c r="D107" s="1789" t="s">
        <v>2466</v>
      </c>
      <c r="E107" s="946"/>
      <c r="F107" s="1789"/>
      <c r="G107" s="1789"/>
      <c r="H107" s="1789"/>
      <c r="I107" s="1846">
        <v>5.2499999999999997E-4</v>
      </c>
      <c r="J107" s="1789"/>
      <c r="K107" s="1846">
        <v>4.06E-4</v>
      </c>
      <c r="L107" s="1789"/>
      <c r="M107" s="1789"/>
      <c r="N107" s="1789"/>
      <c r="O107" s="1789"/>
      <c r="P107" s="1789"/>
      <c r="Q107" s="1789"/>
      <c r="R107" s="946"/>
      <c r="S107" s="946"/>
    </row>
    <row r="108" spans="2:19">
      <c r="B108" s="946"/>
      <c r="C108" s="1788"/>
      <c r="D108" s="1789" t="s">
        <v>2465</v>
      </c>
      <c r="E108" s="946"/>
      <c r="F108" s="1789"/>
      <c r="G108" s="1789"/>
      <c r="H108" s="1789"/>
      <c r="I108" s="1846">
        <v>5.1599999999999997E-4</v>
      </c>
      <c r="J108" s="1789"/>
      <c r="K108" s="1846">
        <v>3.7300000000000001E-4</v>
      </c>
      <c r="L108" s="1789"/>
      <c r="M108" s="1789"/>
      <c r="N108" s="1789"/>
      <c r="O108" s="1789"/>
      <c r="P108" s="1789"/>
      <c r="Q108" s="1789"/>
      <c r="R108" s="946"/>
      <c r="S108" s="946"/>
    </row>
    <row r="109" spans="2:19">
      <c r="B109" s="946"/>
      <c r="C109" s="1788"/>
      <c r="D109" s="1789" t="s">
        <v>2469</v>
      </c>
      <c r="E109" s="946"/>
      <c r="F109" s="1789"/>
      <c r="G109" s="1789"/>
      <c r="H109" s="1789"/>
      <c r="I109" s="1846">
        <v>6.6299999999999996E-4</v>
      </c>
      <c r="J109" s="1789"/>
      <c r="K109" s="1846">
        <v>4.9399999999999997E-4</v>
      </c>
      <c r="L109" s="1789"/>
      <c r="M109" s="1789"/>
      <c r="N109" s="1789"/>
      <c r="O109" s="1789"/>
      <c r="P109" s="1789"/>
      <c r="Q109" s="1789"/>
      <c r="R109" s="946"/>
      <c r="S109" s="946"/>
    </row>
    <row r="110" spans="2:19">
      <c r="B110" s="946"/>
      <c r="C110" s="1788"/>
      <c r="D110" s="1789" t="s">
        <v>2459</v>
      </c>
      <c r="E110" s="946"/>
      <c r="F110" s="1789"/>
      <c r="G110" s="1789"/>
      <c r="H110" s="1789"/>
      <c r="I110" s="1846">
        <v>5.1400000000000003E-4</v>
      </c>
      <c r="J110" s="1789"/>
      <c r="K110" s="1846">
        <v>4.75E-4</v>
      </c>
      <c r="L110" s="1789"/>
      <c r="M110" s="1789"/>
      <c r="N110" s="1789"/>
      <c r="O110" s="1789"/>
      <c r="P110" s="1789"/>
      <c r="Q110" s="1789"/>
      <c r="R110" s="946"/>
      <c r="S110" s="946"/>
    </row>
    <row r="111" spans="2:19">
      <c r="B111" s="946"/>
      <c r="C111" s="1788"/>
      <c r="D111" s="1789" t="s">
        <v>2464</v>
      </c>
      <c r="E111" s="946"/>
      <c r="F111" s="1789"/>
      <c r="G111" s="1789"/>
      <c r="H111" s="1789"/>
      <c r="I111" s="1846">
        <v>7.3800000000000005E-4</v>
      </c>
      <c r="J111" s="1789"/>
      <c r="K111" s="1846">
        <v>6.7199999999999996E-4</v>
      </c>
      <c r="L111" s="1789"/>
      <c r="M111" s="1789"/>
      <c r="N111" s="1789"/>
      <c r="O111" s="1789"/>
      <c r="P111" s="1789"/>
      <c r="Q111" s="1789"/>
      <c r="R111" s="946"/>
      <c r="S111" s="946"/>
    </row>
    <row r="112" spans="2:19">
      <c r="B112" s="946"/>
      <c r="C112" s="1788"/>
      <c r="D112" s="1789" t="s">
        <v>2462</v>
      </c>
      <c r="E112" s="946"/>
      <c r="F112" s="1789"/>
      <c r="G112" s="1789"/>
      <c r="H112" s="1789"/>
      <c r="I112" s="1846">
        <v>6.9999999999999999E-4</v>
      </c>
      <c r="J112" s="1789"/>
      <c r="K112" s="1846">
        <v>6.5600000000000001E-4</v>
      </c>
      <c r="L112" s="1789"/>
      <c r="M112" s="1789"/>
      <c r="N112" s="1789"/>
      <c r="O112" s="1789"/>
      <c r="P112" s="1789"/>
      <c r="Q112" s="1789"/>
      <c r="R112" s="946"/>
      <c r="S112" s="946"/>
    </row>
    <row r="113" spans="2:19">
      <c r="B113" s="946"/>
      <c r="C113" s="1788"/>
      <c r="D113" s="1789" t="s">
        <v>2461</v>
      </c>
      <c r="E113" s="946"/>
      <c r="F113" s="1789"/>
      <c r="G113" s="1789"/>
      <c r="H113" s="1789"/>
      <c r="I113" s="1846">
        <v>6.1200000000000002E-4</v>
      </c>
      <c r="J113" s="1789"/>
      <c r="K113" s="1846">
        <v>5.9900000000000003E-4</v>
      </c>
      <c r="L113" s="1789"/>
      <c r="M113" s="1789"/>
      <c r="N113" s="1789"/>
      <c r="O113" s="1789"/>
      <c r="P113" s="1789"/>
      <c r="Q113" s="1789"/>
      <c r="R113" s="946"/>
      <c r="S113" s="946"/>
    </row>
    <row r="114" spans="2:19">
      <c r="B114" s="946"/>
      <c r="C114" s="1788"/>
      <c r="D114" s="1789" t="s">
        <v>2456</v>
      </c>
      <c r="E114" s="946"/>
      <c r="F114" s="1789"/>
      <c r="G114" s="1789"/>
      <c r="H114" s="1789"/>
      <c r="I114" s="1846">
        <v>9.0300000000000005E-4</v>
      </c>
      <c r="J114" s="1789"/>
      <c r="K114" s="1846">
        <v>6.9200000000000002E-4</v>
      </c>
      <c r="L114" s="1789"/>
      <c r="M114" s="1789"/>
      <c r="N114" s="1789"/>
      <c r="O114" s="1789"/>
      <c r="P114" s="1789"/>
      <c r="Q114" s="1789"/>
      <c r="R114" s="946"/>
      <c r="S114" s="946"/>
    </row>
    <row r="115" spans="2:19">
      <c r="B115" s="946"/>
      <c r="C115" s="1788"/>
      <c r="D115" s="1789" t="s">
        <v>1190</v>
      </c>
      <c r="E115" s="946"/>
      <c r="F115" s="1789"/>
      <c r="G115" s="1789"/>
      <c r="H115" s="1789"/>
      <c r="I115" s="1846">
        <v>6.0300000000000002E-4</v>
      </c>
      <c r="J115" s="1789"/>
      <c r="K115" s="1846">
        <v>4.28E-4</v>
      </c>
      <c r="L115" s="1789"/>
      <c r="M115" s="1789"/>
      <c r="N115" s="1789"/>
      <c r="O115" s="1789"/>
      <c r="P115" s="1789"/>
      <c r="Q115" s="1789"/>
      <c r="R115" s="946"/>
      <c r="S115" s="946"/>
    </row>
    <row r="116" spans="2:19">
      <c r="B116" s="946"/>
      <c r="C116" s="1788"/>
      <c r="D116" s="1789" t="s">
        <v>2013</v>
      </c>
      <c r="E116" s="946"/>
      <c r="F116" s="1789"/>
      <c r="G116" s="1789"/>
      <c r="H116" s="1789"/>
      <c r="I116" s="1846">
        <v>8.6000000000000003E-5</v>
      </c>
      <c r="J116" s="1789"/>
      <c r="K116" s="1846">
        <v>1.06E-4</v>
      </c>
      <c r="L116" s="1789"/>
      <c r="M116" s="1789"/>
      <c r="N116" s="1789"/>
      <c r="O116" s="1789"/>
      <c r="P116" s="1789"/>
      <c r="Q116" s="1789"/>
      <c r="R116" s="946"/>
      <c r="S116" s="946"/>
    </row>
    <row r="117" spans="2:19">
      <c r="B117" s="946"/>
      <c r="C117" s="1788"/>
      <c r="D117" s="1789" t="s">
        <v>2014</v>
      </c>
      <c r="E117" s="946"/>
      <c r="F117" s="1789"/>
      <c r="G117" s="1789"/>
      <c r="H117" s="1789"/>
      <c r="I117" s="1846">
        <v>6.7599999999999995E-4</v>
      </c>
      <c r="J117" s="1789"/>
      <c r="K117" s="1846">
        <v>2.9300000000000002E-4</v>
      </c>
      <c r="L117" s="1789"/>
      <c r="M117" s="1789"/>
      <c r="N117" s="1789"/>
      <c r="O117" s="1789"/>
      <c r="P117" s="1789"/>
      <c r="Q117" s="1789"/>
      <c r="R117" s="946"/>
      <c r="S117" s="946"/>
    </row>
    <row r="118" spans="2:19">
      <c r="B118" s="946"/>
      <c r="C118" s="1788"/>
      <c r="D118" s="1789" t="s">
        <v>1192</v>
      </c>
      <c r="E118" s="946"/>
      <c r="F118" s="1789"/>
      <c r="G118" s="1789"/>
      <c r="H118" s="1789"/>
      <c r="I118" s="1846">
        <v>6.1600000000000001E-4</v>
      </c>
      <c r="J118" s="1789"/>
      <c r="K118" s="1846">
        <v>4.8200000000000001E-4</v>
      </c>
      <c r="L118" s="1789"/>
      <c r="M118" s="1789"/>
      <c r="N118" s="1789"/>
      <c r="O118" s="1789"/>
      <c r="P118" s="1789"/>
      <c r="Q118" s="1789"/>
      <c r="R118" s="946"/>
      <c r="S118" s="946"/>
    </row>
    <row r="119" spans="2:19">
      <c r="B119" s="946"/>
      <c r="C119" s="1789"/>
      <c r="D119" s="1789" t="s">
        <v>2015</v>
      </c>
      <c r="E119" s="946"/>
      <c r="F119" s="1789"/>
      <c r="G119" s="1789"/>
      <c r="H119" s="1789"/>
      <c r="I119" s="1846">
        <v>4.5600000000000003E-4</v>
      </c>
      <c r="J119" s="1789"/>
      <c r="K119" s="1846">
        <v>4.5600000000000003E-4</v>
      </c>
      <c r="L119" s="1789"/>
      <c r="M119" s="1789"/>
      <c r="N119" s="1789"/>
      <c r="O119" s="1789"/>
      <c r="P119" s="1789"/>
      <c r="Q119" s="1789"/>
      <c r="R119" s="946"/>
      <c r="S119" s="946"/>
    </row>
    <row r="120" spans="2:19">
      <c r="B120" s="946"/>
      <c r="C120" s="1788"/>
      <c r="D120" s="1789" t="s">
        <v>2455</v>
      </c>
      <c r="E120" s="946"/>
      <c r="F120" s="1789"/>
      <c r="G120" s="1789"/>
      <c r="H120" s="1789"/>
      <c r="I120" s="1846">
        <v>4.75E-4</v>
      </c>
      <c r="J120" s="1789"/>
      <c r="K120" s="1846">
        <v>4.7100000000000001E-4</v>
      </c>
      <c r="L120" s="1789"/>
      <c r="M120" s="1789"/>
      <c r="N120" s="1789"/>
      <c r="O120" s="1789"/>
      <c r="P120" s="1789"/>
      <c r="Q120" s="1789"/>
      <c r="R120" s="946"/>
      <c r="S120" s="946"/>
    </row>
    <row r="121" spans="2:19">
      <c r="B121" s="946"/>
      <c r="C121" s="1788"/>
      <c r="D121" s="1789" t="s">
        <v>2016</v>
      </c>
      <c r="E121" s="946"/>
      <c r="F121" s="1789"/>
      <c r="G121" s="1789"/>
      <c r="H121" s="1789"/>
      <c r="I121" s="1846">
        <v>7.6199999999999998E-4</v>
      </c>
      <c r="J121" s="1789"/>
      <c r="K121" s="1846">
        <v>7.5699999999999997E-4</v>
      </c>
      <c r="L121" s="1789"/>
      <c r="M121" s="1789"/>
      <c r="N121" s="1789"/>
      <c r="O121" s="1789"/>
      <c r="P121" s="1789"/>
      <c r="Q121" s="1789"/>
      <c r="R121" s="946"/>
      <c r="S121" s="946"/>
    </row>
    <row r="122" spans="2:19">
      <c r="B122" s="946"/>
      <c r="C122" s="1788"/>
      <c r="D122" s="1789" t="s">
        <v>2017</v>
      </c>
      <c r="E122" s="946"/>
      <c r="F122" s="1789"/>
      <c r="G122" s="1789"/>
      <c r="H122" s="1789"/>
      <c r="I122" s="1846">
        <v>0</v>
      </c>
      <c r="J122" s="1789"/>
      <c r="K122" s="1846">
        <v>0</v>
      </c>
      <c r="L122" s="1789"/>
      <c r="M122" s="1789"/>
      <c r="N122" s="1789"/>
      <c r="O122" s="1789"/>
      <c r="P122" s="1789"/>
      <c r="Q122" s="1789"/>
      <c r="R122" s="946"/>
      <c r="S122" s="946"/>
    </row>
    <row r="123" spans="2:19">
      <c r="B123" s="946"/>
      <c r="C123" s="1788"/>
      <c r="D123" s="1789" t="s">
        <v>2458</v>
      </c>
      <c r="E123" s="946"/>
      <c r="F123" s="1789"/>
      <c r="G123" s="1789"/>
      <c r="H123" s="1789"/>
      <c r="I123" s="1846">
        <v>4.2900000000000002E-4</v>
      </c>
      <c r="J123" s="1789"/>
      <c r="K123" s="1846">
        <v>4.2700000000000002E-4</v>
      </c>
      <c r="L123" s="1789"/>
      <c r="M123" s="1789"/>
      <c r="N123" s="1789"/>
      <c r="O123" s="1789"/>
      <c r="P123" s="1789"/>
      <c r="Q123" s="1789"/>
      <c r="R123" s="946"/>
      <c r="S123" s="946"/>
    </row>
    <row r="124" spans="2:19">
      <c r="B124" s="946"/>
      <c r="C124" s="1788"/>
      <c r="D124" s="1789" t="s">
        <v>2457</v>
      </c>
      <c r="E124" s="946"/>
      <c r="F124" s="1789"/>
      <c r="G124" s="1789"/>
      <c r="H124" s="1789"/>
      <c r="I124" s="1846">
        <v>5.2499999999999997E-4</v>
      </c>
      <c r="J124" s="1789"/>
      <c r="K124" s="1846">
        <v>4.4499999999999997E-4</v>
      </c>
      <c r="L124" s="1789"/>
      <c r="M124" s="1789"/>
      <c r="N124" s="1789"/>
      <c r="O124" s="1789"/>
      <c r="P124" s="1789"/>
      <c r="Q124" s="1789"/>
      <c r="R124" s="946"/>
      <c r="S124" s="946"/>
    </row>
    <row r="125" spans="2:19">
      <c r="B125" s="946"/>
      <c r="C125" s="1788"/>
      <c r="D125" s="1789" t="s">
        <v>2018</v>
      </c>
      <c r="E125" s="946"/>
      <c r="F125" s="1789"/>
      <c r="G125" s="1789"/>
      <c r="H125" s="1789"/>
      <c r="I125" s="1846">
        <v>4.4099999999999999E-4</v>
      </c>
      <c r="J125" s="1789"/>
      <c r="K125" s="1846">
        <v>0</v>
      </c>
      <c r="L125" s="1789"/>
      <c r="M125" s="1789"/>
      <c r="N125" s="1789"/>
      <c r="O125" s="1789"/>
      <c r="P125" s="1789"/>
      <c r="Q125" s="1789"/>
      <c r="R125" s="946"/>
      <c r="S125" s="946"/>
    </row>
    <row r="126" spans="2:19">
      <c r="B126" s="946"/>
      <c r="C126" s="1788"/>
      <c r="D126" s="1789" t="s">
        <v>2019</v>
      </c>
      <c r="E126" s="946"/>
      <c r="F126" s="1789"/>
      <c r="G126" s="1789"/>
      <c r="H126" s="1789"/>
      <c r="I126" s="1846">
        <v>7.9699999999999997E-4</v>
      </c>
      <c r="J126" s="1789"/>
      <c r="K126" s="1846">
        <v>7.8899999999999999E-4</v>
      </c>
      <c r="L126" s="1789"/>
      <c r="M126" s="1789"/>
      <c r="N126" s="1789"/>
      <c r="O126" s="1789"/>
      <c r="P126" s="1789"/>
      <c r="Q126" s="1789"/>
      <c r="R126" s="946"/>
      <c r="S126" s="946"/>
    </row>
    <row r="127" spans="2:19">
      <c r="B127" s="946"/>
      <c r="C127" s="1788"/>
      <c r="D127" s="1789" t="s">
        <v>1193</v>
      </c>
      <c r="E127" s="946"/>
      <c r="F127" s="1789"/>
      <c r="G127" s="1789"/>
      <c r="H127" s="1789"/>
      <c r="I127" s="1846">
        <v>4.3800000000000002E-4</v>
      </c>
      <c r="J127" s="1789"/>
      <c r="K127" s="1846">
        <v>2.5900000000000001E-4</v>
      </c>
      <c r="L127" s="1789"/>
      <c r="M127" s="1789"/>
      <c r="N127" s="1789"/>
      <c r="O127" s="1789"/>
      <c r="P127" s="1789"/>
      <c r="Q127" s="1789"/>
      <c r="R127" s="946"/>
      <c r="S127" s="946"/>
    </row>
    <row r="128" spans="2:19">
      <c r="B128" s="946"/>
      <c r="C128" s="1788"/>
      <c r="D128" s="1789" t="s">
        <v>2020</v>
      </c>
      <c r="E128" s="946"/>
      <c r="F128" s="1789"/>
      <c r="G128" s="1789"/>
      <c r="H128" s="1789"/>
      <c r="I128" s="1846">
        <v>3.6699999999999998E-4</v>
      </c>
      <c r="J128" s="1789"/>
      <c r="K128" s="1846">
        <v>3.6400000000000001E-4</v>
      </c>
      <c r="L128" s="1789"/>
      <c r="M128" s="1789"/>
      <c r="N128" s="1789"/>
      <c r="O128" s="1789"/>
      <c r="P128" s="1789"/>
      <c r="Q128" s="1789"/>
      <c r="R128" s="946"/>
      <c r="S128" s="946"/>
    </row>
    <row r="129" spans="2:19">
      <c r="B129" s="946"/>
      <c r="C129" s="1788"/>
      <c r="D129" s="1789" t="s">
        <v>2021</v>
      </c>
      <c r="E129" s="946"/>
      <c r="F129" s="1789"/>
      <c r="G129" s="1789"/>
      <c r="H129" s="1789"/>
      <c r="I129" s="1846">
        <v>4.9399999999999997E-4</v>
      </c>
      <c r="J129" s="1789"/>
      <c r="K129" s="1846">
        <v>4.8999999999999998E-4</v>
      </c>
      <c r="L129" s="1789"/>
      <c r="M129" s="1789"/>
      <c r="N129" s="1789"/>
      <c r="O129" s="1789"/>
      <c r="P129" s="1789"/>
      <c r="Q129" s="1789"/>
      <c r="R129" s="946"/>
      <c r="S129" s="946"/>
    </row>
    <row r="130" spans="2:19">
      <c r="B130" s="946"/>
      <c r="C130" s="1788"/>
      <c r="D130" s="1789" t="s">
        <v>2022</v>
      </c>
      <c r="E130" s="946"/>
      <c r="F130" s="1789"/>
      <c r="G130" s="1789"/>
      <c r="H130" s="1789"/>
      <c r="I130" s="1846">
        <v>3.1199999999999999E-4</v>
      </c>
      <c r="J130" s="1789"/>
      <c r="K130" s="1846">
        <v>3.0899999999999998E-4</v>
      </c>
      <c r="L130" s="1789"/>
      <c r="M130" s="1789"/>
      <c r="N130" s="1789"/>
      <c r="O130" s="1789"/>
      <c r="P130" s="1789"/>
      <c r="Q130" s="1789"/>
      <c r="R130" s="946"/>
      <c r="S130" s="946"/>
    </row>
    <row r="131" spans="2:19">
      <c r="B131" s="946"/>
      <c r="C131" s="1788"/>
      <c r="D131" s="1789" t="s">
        <v>2463</v>
      </c>
      <c r="E131" s="946"/>
      <c r="F131" s="1789"/>
      <c r="G131" s="1789"/>
      <c r="H131" s="1789"/>
      <c r="I131" s="1846">
        <v>3.6699999999999998E-4</v>
      </c>
      <c r="J131" s="1789"/>
      <c r="K131" s="1846">
        <v>3.6400000000000001E-4</v>
      </c>
      <c r="L131" s="1789"/>
      <c r="M131" s="1789"/>
      <c r="N131" s="1789"/>
      <c r="O131" s="1789"/>
      <c r="P131" s="1789"/>
      <c r="Q131" s="1789"/>
      <c r="R131" s="946"/>
      <c r="S131" s="946"/>
    </row>
    <row r="132" spans="2:19">
      <c r="B132" s="946"/>
      <c r="C132" s="1788"/>
      <c r="D132" s="1789" t="s">
        <v>2023</v>
      </c>
      <c r="E132" s="946"/>
      <c r="F132" s="1789"/>
      <c r="G132" s="1789"/>
      <c r="H132" s="1789"/>
      <c r="I132" s="1846">
        <v>6.5499999999999998E-4</v>
      </c>
      <c r="J132" s="1789"/>
      <c r="K132" s="1846">
        <v>6.5399999999999996E-4</v>
      </c>
      <c r="L132" s="1789"/>
      <c r="M132" s="1789"/>
      <c r="N132" s="1789"/>
      <c r="O132" s="1789"/>
      <c r="P132" s="1789"/>
      <c r="Q132" s="1789"/>
      <c r="R132" s="946"/>
      <c r="S132" s="946"/>
    </row>
    <row r="133" spans="2:19">
      <c r="B133" s="946"/>
      <c r="C133" s="1788"/>
      <c r="D133" s="1789" t="s">
        <v>2024</v>
      </c>
      <c r="E133" s="946"/>
      <c r="F133" s="1789"/>
      <c r="G133" s="1789"/>
      <c r="H133" s="1789"/>
      <c r="I133" s="1846">
        <v>3.88E-4</v>
      </c>
      <c r="J133" s="1789"/>
      <c r="K133" s="1846">
        <v>3.8499999999999998E-4</v>
      </c>
      <c r="L133" s="1789"/>
      <c r="M133" s="1789"/>
      <c r="N133" s="1789"/>
      <c r="O133" s="1789"/>
      <c r="P133" s="1789"/>
      <c r="Q133" s="1789"/>
      <c r="R133" s="946"/>
      <c r="S133" s="946"/>
    </row>
    <row r="134" spans="2:19">
      <c r="B134" s="946"/>
      <c r="C134" s="1788"/>
      <c r="D134" s="1789" t="s">
        <v>1194</v>
      </c>
      <c r="E134" s="946"/>
      <c r="F134" s="1789"/>
      <c r="G134" s="1789"/>
      <c r="H134" s="1789"/>
      <c r="I134" s="1846">
        <v>4.3100000000000001E-4</v>
      </c>
      <c r="J134" s="1789"/>
      <c r="K134" s="1846">
        <v>4.2700000000000002E-4</v>
      </c>
      <c r="L134" s="1789"/>
      <c r="M134" s="1789"/>
      <c r="N134" s="1789"/>
      <c r="O134" s="1789"/>
      <c r="P134" s="1789"/>
      <c r="Q134" s="1789"/>
      <c r="R134" s="946"/>
      <c r="S134" s="946"/>
    </row>
    <row r="135" spans="2:19">
      <c r="B135" s="946"/>
      <c r="C135" s="1788"/>
      <c r="D135" s="1789" t="s">
        <v>2025</v>
      </c>
      <c r="E135" s="946"/>
      <c r="F135" s="1789"/>
      <c r="G135" s="1789"/>
      <c r="H135" s="1789"/>
      <c r="I135" s="1846">
        <v>4.9399999999999997E-4</v>
      </c>
      <c r="J135" s="1789"/>
      <c r="K135" s="1846">
        <v>4.8999999999999998E-4</v>
      </c>
      <c r="L135" s="1789"/>
      <c r="M135" s="1789"/>
      <c r="N135" s="1789"/>
      <c r="O135" s="1789"/>
      <c r="P135" s="1789"/>
      <c r="Q135" s="1789"/>
      <c r="R135" s="946"/>
      <c r="S135" s="946"/>
    </row>
    <row r="136" spans="2:19">
      <c r="B136" s="946"/>
      <c r="C136" s="1788"/>
      <c r="D136" s="1789" t="s">
        <v>2026</v>
      </c>
      <c r="E136" s="946"/>
      <c r="F136" s="1789"/>
      <c r="G136" s="1789"/>
      <c r="H136" s="1789"/>
      <c r="I136" s="1846">
        <v>9.2E-5</v>
      </c>
      <c r="J136" s="1789"/>
      <c r="K136" s="1846">
        <v>9.1000000000000003E-5</v>
      </c>
      <c r="L136" s="1789"/>
      <c r="M136" s="1789"/>
      <c r="N136" s="1789"/>
      <c r="O136" s="1789"/>
      <c r="P136" s="1789"/>
      <c r="Q136" s="1789"/>
      <c r="R136" s="946"/>
      <c r="S136" s="946"/>
    </row>
    <row r="137" spans="2:19">
      <c r="B137" s="946"/>
      <c r="C137" s="1788"/>
      <c r="D137" s="1789" t="s">
        <v>2027</v>
      </c>
      <c r="E137" s="946"/>
      <c r="F137" s="1789"/>
      <c r="G137" s="1789"/>
      <c r="H137" s="1789"/>
      <c r="I137" s="1846">
        <v>5.0799999999999999E-4</v>
      </c>
      <c r="J137" s="1789"/>
      <c r="K137" s="1846">
        <v>5.0900000000000001E-4</v>
      </c>
      <c r="L137" s="1789"/>
      <c r="M137" s="1789"/>
      <c r="N137" s="1789"/>
      <c r="O137" s="1789"/>
      <c r="P137" s="1789"/>
      <c r="Q137" s="1789"/>
      <c r="R137" s="946"/>
      <c r="S137" s="946"/>
    </row>
    <row r="138" spans="2:19">
      <c r="B138" s="946"/>
      <c r="C138" s="1788"/>
      <c r="D138" s="1789" t="s">
        <v>2028</v>
      </c>
      <c r="E138" s="946"/>
      <c r="F138" s="1789"/>
      <c r="G138" s="1789"/>
      <c r="H138" s="1789"/>
      <c r="I138" s="1846">
        <v>4.86E-4</v>
      </c>
      <c r="J138" s="1789"/>
      <c r="K138" s="1846">
        <v>2.5599999999999999E-4</v>
      </c>
      <c r="L138" s="1789"/>
      <c r="M138" s="1789"/>
      <c r="N138" s="1789"/>
      <c r="O138" s="1789"/>
      <c r="P138" s="1789"/>
      <c r="Q138" s="1789"/>
      <c r="R138" s="946"/>
      <c r="S138" s="946"/>
    </row>
    <row r="139" spans="2:19">
      <c r="B139" s="946"/>
      <c r="C139" s="1788"/>
      <c r="D139" s="1789" t="s">
        <v>1195</v>
      </c>
      <c r="E139" s="946"/>
      <c r="F139" s="1789"/>
      <c r="G139" s="1789"/>
      <c r="H139" s="1789"/>
      <c r="I139" s="1846">
        <v>4.9799999999999996E-4</v>
      </c>
      <c r="J139" s="1789"/>
      <c r="K139" s="1846">
        <v>4.9200000000000003E-4</v>
      </c>
      <c r="L139" s="1789"/>
      <c r="M139" s="1789"/>
      <c r="N139" s="1789"/>
      <c r="O139" s="1789"/>
      <c r="P139" s="1789"/>
      <c r="Q139" s="1789"/>
      <c r="R139" s="946"/>
      <c r="S139" s="946"/>
    </row>
    <row r="140" spans="2:19">
      <c r="B140" s="946"/>
      <c r="C140" s="1788"/>
      <c r="D140" s="1789" t="s">
        <v>2029</v>
      </c>
      <c r="E140" s="946"/>
      <c r="F140" s="1789"/>
      <c r="G140" s="1789"/>
      <c r="H140" s="1789"/>
      <c r="I140" s="1846">
        <v>1.8E-5</v>
      </c>
      <c r="J140" s="1789"/>
      <c r="K140" s="1846">
        <v>2.1999999999999999E-5</v>
      </c>
      <c r="L140" s="1789"/>
      <c r="M140" s="1789"/>
      <c r="N140" s="1789"/>
      <c r="O140" s="1789"/>
      <c r="P140" s="1789"/>
      <c r="Q140" s="1789"/>
      <c r="R140" s="946"/>
      <c r="S140" s="946"/>
    </row>
    <row r="141" spans="2:19">
      <c r="B141" s="946"/>
      <c r="C141" s="1788"/>
      <c r="D141" s="1789" t="s">
        <v>2460</v>
      </c>
      <c r="E141" s="946"/>
      <c r="F141" s="1789"/>
      <c r="G141" s="1789"/>
      <c r="H141" s="1789"/>
      <c r="I141" s="1846">
        <v>3.7800000000000003E-4</v>
      </c>
      <c r="J141" s="1789"/>
      <c r="K141" s="1846">
        <v>3.2400000000000001E-4</v>
      </c>
      <c r="L141" s="1789"/>
      <c r="M141" s="1789"/>
      <c r="N141" s="1789"/>
      <c r="O141" s="1789"/>
      <c r="P141" s="1789"/>
      <c r="Q141" s="1789"/>
      <c r="R141" s="946"/>
      <c r="S141" s="946"/>
    </row>
    <row r="142" spans="2:19">
      <c r="B142" s="946"/>
      <c r="C142" s="1788"/>
      <c r="D142" s="1789" t="s">
        <v>2030</v>
      </c>
      <c r="E142" s="946"/>
      <c r="F142" s="1789"/>
      <c r="G142" s="1789"/>
      <c r="H142" s="1789"/>
      <c r="I142" s="1846">
        <v>3.6600000000000001E-4</v>
      </c>
      <c r="J142" s="1789"/>
      <c r="K142" s="1846">
        <v>4.4499999999999997E-4</v>
      </c>
      <c r="L142" s="1789"/>
      <c r="M142" s="1789"/>
      <c r="N142" s="1789"/>
      <c r="O142" s="1789"/>
      <c r="P142" s="1789"/>
      <c r="Q142" s="1789"/>
      <c r="R142" s="946"/>
      <c r="S142" s="946"/>
    </row>
    <row r="143" spans="2:19">
      <c r="B143" s="946"/>
      <c r="C143" s="1788"/>
      <c r="D143" s="1789" t="s">
        <v>2031</v>
      </c>
      <c r="E143" s="946"/>
      <c r="F143" s="1789"/>
      <c r="G143" s="1789"/>
      <c r="H143" s="1789"/>
      <c r="I143" s="1846">
        <v>4.2000000000000002E-4</v>
      </c>
      <c r="J143" s="1789"/>
      <c r="K143" s="1846">
        <v>0</v>
      </c>
      <c r="L143" s="1789"/>
      <c r="M143" s="1789"/>
      <c r="N143" s="1789"/>
      <c r="O143" s="1789"/>
      <c r="P143" s="1789"/>
      <c r="Q143" s="1789"/>
      <c r="R143" s="946"/>
      <c r="S143" s="946"/>
    </row>
    <row r="144" spans="2:19" ht="3" customHeight="1">
      <c r="B144" s="946"/>
      <c r="C144" s="1788"/>
      <c r="D144" s="1789"/>
      <c r="E144" s="946"/>
      <c r="F144" s="1789"/>
      <c r="G144" s="1789"/>
      <c r="H144" s="1789"/>
      <c r="I144" s="1789"/>
      <c r="J144" s="1789"/>
      <c r="K144" s="1789"/>
      <c r="L144" s="1789"/>
      <c r="M144" s="1789"/>
      <c r="N144" s="1789"/>
      <c r="O144" s="1789"/>
      <c r="P144" s="1789"/>
      <c r="Q144" s="1789"/>
      <c r="R144" s="946"/>
      <c r="S144" s="946"/>
    </row>
    <row r="145" spans="2:19">
      <c r="B145" s="946"/>
      <c r="C145" s="1788"/>
      <c r="D145" s="1789" t="s">
        <v>1932</v>
      </c>
      <c r="E145" s="946"/>
      <c r="F145" s="1789"/>
      <c r="G145" s="1789"/>
      <c r="H145" s="1789"/>
      <c r="I145" s="1846">
        <v>5.5000000000000003E-4</v>
      </c>
      <c r="J145" s="1789"/>
      <c r="K145" s="1789"/>
      <c r="L145" s="1789"/>
      <c r="M145" s="1789"/>
      <c r="N145" s="1789"/>
      <c r="O145" s="1789"/>
      <c r="P145" s="1789"/>
      <c r="Q145" s="1789"/>
      <c r="R145" s="946"/>
      <c r="S145" s="946"/>
    </row>
    <row r="146" spans="2:19">
      <c r="B146" s="946"/>
      <c r="C146" s="1788"/>
      <c r="D146" s="1788"/>
      <c r="E146" s="1789"/>
      <c r="F146" s="1789"/>
      <c r="G146" s="1789"/>
      <c r="H146" s="1789"/>
      <c r="I146" s="1845"/>
      <c r="J146" s="1789"/>
      <c r="K146" s="1789"/>
      <c r="L146" s="1789"/>
      <c r="M146" s="1789"/>
      <c r="N146" s="1789"/>
      <c r="O146" s="1789"/>
      <c r="P146" s="1789"/>
      <c r="Q146" s="1789"/>
      <c r="R146" s="946"/>
      <c r="S146" s="946"/>
    </row>
    <row r="147" spans="2:19">
      <c r="B147" s="946"/>
      <c r="C147" s="1795" t="s">
        <v>1933</v>
      </c>
      <c r="D147" s="1788"/>
      <c r="E147" s="1788"/>
      <c r="F147" s="1788"/>
      <c r="G147" s="1788"/>
      <c r="H147" s="1788"/>
      <c r="I147" s="1788"/>
      <c r="J147" s="1788"/>
      <c r="K147" s="1788"/>
      <c r="L147" s="1788"/>
      <c r="M147" s="1788"/>
      <c r="N147" s="1788"/>
      <c r="O147" s="1788"/>
      <c r="P147" s="1788"/>
      <c r="Q147" s="1788"/>
      <c r="R147" s="946"/>
      <c r="S147" s="946"/>
    </row>
    <row r="148" spans="2:19">
      <c r="B148" s="946"/>
      <c r="C148" s="946"/>
      <c r="D148" s="2384" t="s">
        <v>2521</v>
      </c>
      <c r="E148" s="2385"/>
      <c r="F148" s="2386"/>
      <c r="G148" s="946"/>
      <c r="H148" s="2387" t="s">
        <v>2557</v>
      </c>
      <c r="I148" s="2391" t="s">
        <v>1097</v>
      </c>
      <c r="J148" s="2389"/>
      <c r="K148" s="2389"/>
      <c r="L148" s="2389"/>
      <c r="M148" s="2390"/>
      <c r="N148" s="2391" t="s">
        <v>2536</v>
      </c>
      <c r="O148" s="2392"/>
      <c r="P148" s="2392"/>
      <c r="Q148" s="2393"/>
      <c r="R148" s="2394" t="s">
        <v>2561</v>
      </c>
      <c r="S148" s="946"/>
    </row>
    <row r="149" spans="2:19" hidden="1">
      <c r="B149" s="946"/>
      <c r="C149" s="946"/>
      <c r="D149" s="2395"/>
      <c r="E149" s="2396"/>
      <c r="F149" s="2397"/>
      <c r="G149" s="946"/>
      <c r="H149" s="946"/>
      <c r="I149" s="2388">
        <v>300</v>
      </c>
      <c r="J149" s="2389">
        <v>2000</v>
      </c>
      <c r="K149" s="2389">
        <v>10000</v>
      </c>
      <c r="L149" s="2389">
        <v>30000</v>
      </c>
      <c r="M149" s="2390"/>
      <c r="N149" s="2398">
        <f>I96</f>
        <v>5.2868852459016395E-2</v>
      </c>
      <c r="O149" s="2399">
        <f>I97</f>
        <v>4.9799999999999997E-2</v>
      </c>
      <c r="P149" s="2399">
        <f>I101</f>
        <v>6.855E-2</v>
      </c>
      <c r="Q149" s="2400"/>
      <c r="R149" s="2401"/>
      <c r="S149" s="946"/>
    </row>
    <row r="150" spans="2:19" ht="24">
      <c r="B150" s="946"/>
      <c r="C150" s="946"/>
      <c r="D150" s="2402"/>
      <c r="E150" s="2403"/>
      <c r="F150" s="2404"/>
      <c r="G150" s="946"/>
      <c r="H150" s="946"/>
      <c r="I150" s="2405" t="s">
        <v>2537</v>
      </c>
      <c r="J150" s="2406" t="s">
        <v>2538</v>
      </c>
      <c r="K150" s="2406" t="s">
        <v>2539</v>
      </c>
      <c r="L150" s="2406" t="s">
        <v>2540</v>
      </c>
      <c r="M150" s="2405" t="s">
        <v>2541</v>
      </c>
      <c r="N150" s="2405" t="s">
        <v>2542</v>
      </c>
      <c r="O150" s="2405" t="s">
        <v>1934</v>
      </c>
      <c r="P150" s="2405" t="s">
        <v>2543</v>
      </c>
      <c r="Q150" s="2407" t="s">
        <v>1748</v>
      </c>
      <c r="R150" s="2408" t="s">
        <v>1468</v>
      </c>
      <c r="S150" s="946"/>
    </row>
    <row r="151" spans="2:19" ht="14.25" customHeight="1">
      <c r="B151" s="946"/>
      <c r="C151" s="946"/>
      <c r="D151" s="2409" t="s">
        <v>1916</v>
      </c>
      <c r="E151" s="2391" t="s">
        <v>512</v>
      </c>
      <c r="F151" s="2410"/>
      <c r="G151" s="946">
        <f>メイン!R47</f>
        <v>3000</v>
      </c>
      <c r="H151" s="946">
        <f>IF(G151=0,0,IF(G151&lt;$I$149,I151,IF(G151&lt;$J$149,J151,IF(G151&lt;$K$149,K151,IF(G151&lt;$L$149,L151,M151)))))</f>
        <v>1540</v>
      </c>
      <c r="I151" s="2411">
        <v>1540</v>
      </c>
      <c r="J151" s="2411">
        <v>1540</v>
      </c>
      <c r="K151" s="2411">
        <v>1540</v>
      </c>
      <c r="L151" s="2411">
        <v>1930</v>
      </c>
      <c r="M151" s="2411">
        <v>2270</v>
      </c>
      <c r="N151" s="2412">
        <v>0.9</v>
      </c>
      <c r="O151" s="2412">
        <v>0.06</v>
      </c>
      <c r="P151" s="2412">
        <v>0.04</v>
      </c>
      <c r="Q151" s="2413" t="s">
        <v>2544</v>
      </c>
      <c r="R151" s="2414">
        <f t="shared" ref="R151:R166" si="36">SUMPRODUCT(N151:P151,$N$149:$P$149)</f>
        <v>5.3311967213114757E-2</v>
      </c>
      <c r="S151" s="946"/>
    </row>
    <row r="152" spans="2:19" ht="14.25" customHeight="1">
      <c r="B152" s="946"/>
      <c r="C152" s="946"/>
      <c r="D152" s="2415"/>
      <c r="E152" s="2391" t="s">
        <v>2522</v>
      </c>
      <c r="F152" s="2410"/>
      <c r="G152" s="946">
        <f>メイン!R48</f>
        <v>0</v>
      </c>
      <c r="H152" s="946">
        <f>IF(G152=0,0,IF(G152&lt;$I$149,I152,IF(G152&lt;$J$149,J152,IF(G152&lt;$K$149,K152,IF(G152&lt;$L$149,L152,M152)))))</f>
        <v>0</v>
      </c>
      <c r="I152" s="2411">
        <v>1100</v>
      </c>
      <c r="J152" s="2411">
        <v>1100</v>
      </c>
      <c r="K152" s="2411">
        <v>1100</v>
      </c>
      <c r="L152" s="2411">
        <v>1260</v>
      </c>
      <c r="M152" s="2411">
        <v>1380</v>
      </c>
      <c r="N152" s="2412">
        <v>0.83</v>
      </c>
      <c r="O152" s="2412">
        <v>0.09</v>
      </c>
      <c r="P152" s="2412">
        <v>0.08</v>
      </c>
      <c r="Q152" s="2413" t="s">
        <v>2544</v>
      </c>
      <c r="R152" s="2414">
        <f>SUMPRODUCT(N152:P152,$N$149:$P$149)</f>
        <v>5.384714754098361E-2</v>
      </c>
      <c r="S152" s="946"/>
    </row>
    <row r="153" spans="2:19" ht="14.25" customHeight="1">
      <c r="B153" s="946"/>
      <c r="C153" s="946"/>
      <c r="D153" s="2416" t="s">
        <v>2526</v>
      </c>
      <c r="E153" s="2391" t="s">
        <v>2527</v>
      </c>
      <c r="F153" s="2410"/>
      <c r="G153" s="946">
        <f>メイン!R49</f>
        <v>0</v>
      </c>
      <c r="H153" s="946">
        <f>IF(G153=0,0,IF(G153&lt;$I$149,I153,IF(G153&lt;$J$149,J153,IF(G153&lt;$K$149,K153,IF(G153&lt;$L$149,L153,M153)))))</f>
        <v>0</v>
      </c>
      <c r="I153" s="2411">
        <v>490</v>
      </c>
      <c r="J153" s="2411">
        <v>490</v>
      </c>
      <c r="K153" s="2411">
        <v>490</v>
      </c>
      <c r="L153" s="2411">
        <v>490</v>
      </c>
      <c r="M153" s="2411">
        <v>490</v>
      </c>
      <c r="N153" s="2412">
        <v>0.71</v>
      </c>
      <c r="O153" s="2412">
        <v>0.16</v>
      </c>
      <c r="P153" s="2412">
        <v>0.13</v>
      </c>
      <c r="Q153" s="2413" t="s">
        <v>2544</v>
      </c>
      <c r="R153" s="2414">
        <f t="shared" si="36"/>
        <v>5.4416385245901644E-2</v>
      </c>
      <c r="S153" s="946"/>
    </row>
    <row r="154" spans="2:19" ht="14.25" customHeight="1">
      <c r="B154" s="946"/>
      <c r="C154" s="946"/>
      <c r="D154" s="2416"/>
      <c r="E154" s="2384" t="s">
        <v>2528</v>
      </c>
      <c r="F154" s="2405" t="s">
        <v>2529</v>
      </c>
      <c r="G154" s="946">
        <f>メイン!R50</f>
        <v>0</v>
      </c>
      <c r="H154" s="2417">
        <f>IF(G154&gt;0,I154,0)</f>
        <v>0</v>
      </c>
      <c r="I154" s="2411">
        <v>522</v>
      </c>
      <c r="J154" s="2411">
        <v>522</v>
      </c>
      <c r="K154" s="2411">
        <v>522</v>
      </c>
      <c r="L154" s="2411">
        <v>522</v>
      </c>
      <c r="M154" s="2411">
        <v>522</v>
      </c>
      <c r="N154" s="2412">
        <v>0.62299911901772109</v>
      </c>
      <c r="O154" s="2412">
        <v>0.16715691274115696</v>
      </c>
      <c r="P154" s="2412">
        <v>0.20984396824112195</v>
      </c>
      <c r="Q154" s="2413" t="s">
        <v>2544</v>
      </c>
      <c r="R154" s="2414">
        <f t="shared" si="36"/>
        <v>5.5646466782883618E-2</v>
      </c>
      <c r="S154" s="946"/>
    </row>
    <row r="155" spans="2:19" ht="14.25" customHeight="1">
      <c r="B155" s="946"/>
      <c r="C155" s="946"/>
      <c r="D155" s="2416"/>
      <c r="E155" s="2402"/>
      <c r="F155" s="2405" t="s">
        <v>2961</v>
      </c>
      <c r="G155" s="946">
        <f>メイン!R51</f>
        <v>0</v>
      </c>
      <c r="H155" s="2417">
        <f>IF(G155&gt;0,I155,0)</f>
        <v>0</v>
      </c>
      <c r="I155" s="2411">
        <v>310</v>
      </c>
      <c r="J155" s="2411">
        <v>310</v>
      </c>
      <c r="K155" s="2411">
        <v>310</v>
      </c>
      <c r="L155" s="2411">
        <v>310</v>
      </c>
      <c r="M155" s="2411">
        <v>310</v>
      </c>
      <c r="N155" s="2412">
        <v>0.75998792472086629</v>
      </c>
      <c r="O155" s="2412">
        <v>0.13554620368652504</v>
      </c>
      <c r="P155" s="2412">
        <v>0.10446587159260867</v>
      </c>
      <c r="Q155" s="2413"/>
      <c r="R155" s="2414">
        <f t="shared" si="36"/>
        <v>5.4091025903963814E-2</v>
      </c>
      <c r="S155" s="946"/>
    </row>
    <row r="156" spans="2:19" ht="14.25" customHeight="1">
      <c r="B156" s="946"/>
      <c r="C156" s="946"/>
      <c r="D156" s="2416"/>
      <c r="E156" s="2391" t="s">
        <v>2530</v>
      </c>
      <c r="F156" s="2410"/>
      <c r="G156" s="946">
        <f>メイン!R52</f>
        <v>0</v>
      </c>
      <c r="H156" s="946">
        <f t="shared" ref="H156:H166" si="37">IF(G156=0,0,IF(G156&lt;$I$149,I156,IF(G156&lt;$J$149,J156,IF(G156&lt;$K$149,K156,IF(G156&lt;$L$149,L156,M156)))))</f>
        <v>0</v>
      </c>
      <c r="I156" s="2411">
        <v>390</v>
      </c>
      <c r="J156" s="2411">
        <v>390</v>
      </c>
      <c r="K156" s="2411">
        <v>390</v>
      </c>
      <c r="L156" s="2411">
        <v>360</v>
      </c>
      <c r="M156" s="2411">
        <v>240</v>
      </c>
      <c r="N156" s="2412">
        <v>0.74</v>
      </c>
      <c r="O156" s="2412">
        <v>7.0000000000000007E-2</v>
      </c>
      <c r="P156" s="2412">
        <v>0.19</v>
      </c>
      <c r="Q156" s="2413" t="s">
        <v>2544</v>
      </c>
      <c r="R156" s="2414">
        <f t="shared" si="36"/>
        <v>5.5633450819672137E-2</v>
      </c>
      <c r="S156" s="946"/>
    </row>
    <row r="157" spans="2:19" ht="14.25" customHeight="1">
      <c r="B157" s="946"/>
      <c r="C157" s="946"/>
      <c r="D157" s="2415"/>
      <c r="E157" s="2391" t="s">
        <v>2531</v>
      </c>
      <c r="F157" s="2410"/>
      <c r="G157" s="946">
        <f>メイン!R53</f>
        <v>0</v>
      </c>
      <c r="H157" s="946">
        <f t="shared" si="37"/>
        <v>0</v>
      </c>
      <c r="I157" s="2411">
        <v>880</v>
      </c>
      <c r="J157" s="2411">
        <v>880</v>
      </c>
      <c r="K157" s="2411">
        <v>880</v>
      </c>
      <c r="L157" s="2411">
        <v>850</v>
      </c>
      <c r="M157" s="2411">
        <v>1160</v>
      </c>
      <c r="N157" s="2412">
        <v>0.79</v>
      </c>
      <c r="O157" s="2412">
        <v>0.12</v>
      </c>
      <c r="P157" s="2412">
        <v>0.09</v>
      </c>
      <c r="Q157" s="2413" t="s">
        <v>2544</v>
      </c>
      <c r="R157" s="2414">
        <f t="shared" si="36"/>
        <v>5.3911893442622955E-2</v>
      </c>
      <c r="S157" s="946"/>
    </row>
    <row r="158" spans="2:19" ht="14.25" customHeight="1">
      <c r="B158" s="946"/>
      <c r="C158" s="946"/>
      <c r="D158" s="2409" t="s">
        <v>2523</v>
      </c>
      <c r="E158" s="2391" t="s">
        <v>2127</v>
      </c>
      <c r="F158" s="2410"/>
      <c r="G158" s="946">
        <f>メイン!R54</f>
        <v>0</v>
      </c>
      <c r="H158" s="946">
        <f t="shared" si="37"/>
        <v>0</v>
      </c>
      <c r="I158" s="2411">
        <v>7430</v>
      </c>
      <c r="J158" s="2411">
        <v>7430</v>
      </c>
      <c r="K158" s="2411">
        <v>5130</v>
      </c>
      <c r="L158" s="2411">
        <v>3190</v>
      </c>
      <c r="M158" s="2411">
        <v>3190</v>
      </c>
      <c r="N158" s="2412">
        <v>0.93</v>
      </c>
      <c r="O158" s="2412">
        <v>0.03</v>
      </c>
      <c r="P158" s="2412">
        <v>0.04</v>
      </c>
      <c r="Q158" s="2413" t="s">
        <v>2544</v>
      </c>
      <c r="R158" s="2414">
        <f t="shared" si="36"/>
        <v>5.3404032786885255E-2</v>
      </c>
      <c r="S158" s="946"/>
    </row>
    <row r="159" spans="2:19" ht="14.25" customHeight="1">
      <c r="B159" s="946"/>
      <c r="C159" s="946"/>
      <c r="D159" s="2415"/>
      <c r="E159" s="2391" t="s">
        <v>2524</v>
      </c>
      <c r="F159" s="2410"/>
      <c r="G159" s="946">
        <f>メイン!R55</f>
        <v>0</v>
      </c>
      <c r="H159" s="946">
        <f t="shared" si="37"/>
        <v>0</v>
      </c>
      <c r="I159" s="2411">
        <v>2360</v>
      </c>
      <c r="J159" s="2411">
        <v>2360</v>
      </c>
      <c r="K159" s="2411">
        <v>2360</v>
      </c>
      <c r="L159" s="2411">
        <v>2950</v>
      </c>
      <c r="M159" s="2411">
        <v>2680</v>
      </c>
      <c r="N159" s="2412">
        <v>0.92</v>
      </c>
      <c r="O159" s="2412">
        <v>0.04</v>
      </c>
      <c r="P159" s="2412">
        <v>0.04</v>
      </c>
      <c r="Q159" s="2413" t="s">
        <v>2544</v>
      </c>
      <c r="R159" s="2414">
        <f t="shared" si="36"/>
        <v>5.3373344262295085E-2</v>
      </c>
      <c r="S159" s="946"/>
    </row>
    <row r="160" spans="2:19" ht="14.25" customHeight="1">
      <c r="B160" s="946"/>
      <c r="C160" s="946"/>
      <c r="D160" s="2391" t="s">
        <v>518</v>
      </c>
      <c r="E160" s="2392"/>
      <c r="F160" s="2410"/>
      <c r="G160" s="946">
        <f>メイン!R56</f>
        <v>0</v>
      </c>
      <c r="H160" s="946">
        <f t="shared" si="37"/>
        <v>0</v>
      </c>
      <c r="I160" s="2411">
        <v>2960</v>
      </c>
      <c r="J160" s="2411">
        <v>2960</v>
      </c>
      <c r="K160" s="2411">
        <v>2960</v>
      </c>
      <c r="L160" s="2411">
        <v>2960</v>
      </c>
      <c r="M160" s="2411">
        <v>2960</v>
      </c>
      <c r="N160" s="2412">
        <v>0.5</v>
      </c>
      <c r="O160" s="2412">
        <v>0.38</v>
      </c>
      <c r="P160" s="2412">
        <v>0.12</v>
      </c>
      <c r="Q160" s="2413" t="s">
        <v>2544</v>
      </c>
      <c r="R160" s="2414">
        <f t="shared" si="36"/>
        <v>5.3584426229508195E-2</v>
      </c>
      <c r="S160" s="946"/>
    </row>
    <row r="161" spans="2:27" ht="14.25" customHeight="1">
      <c r="B161" s="946"/>
      <c r="C161" s="946"/>
      <c r="D161" s="2409" t="s">
        <v>2532</v>
      </c>
      <c r="E161" s="2391" t="s">
        <v>2533</v>
      </c>
      <c r="F161" s="2410"/>
      <c r="G161" s="946">
        <f>メイン!R57</f>
        <v>0</v>
      </c>
      <c r="H161" s="946">
        <f t="shared" si="37"/>
        <v>0</v>
      </c>
      <c r="I161" s="2411">
        <v>1030</v>
      </c>
      <c r="J161" s="2411">
        <v>1030</v>
      </c>
      <c r="K161" s="2411">
        <v>1030</v>
      </c>
      <c r="L161" s="2411">
        <v>1450</v>
      </c>
      <c r="M161" s="2411">
        <v>1670</v>
      </c>
      <c r="N161" s="2412">
        <v>0.76</v>
      </c>
      <c r="O161" s="2412">
        <v>0.16</v>
      </c>
      <c r="P161" s="2412">
        <v>0.08</v>
      </c>
      <c r="Q161" s="2413" t="s">
        <v>2544</v>
      </c>
      <c r="R161" s="2414">
        <f t="shared" si="36"/>
        <v>5.363232786885247E-2</v>
      </c>
      <c r="S161" s="946"/>
    </row>
    <row r="162" spans="2:27" ht="14.25" customHeight="1">
      <c r="B162" s="946"/>
      <c r="C162" s="946"/>
      <c r="D162" s="2416"/>
      <c r="E162" s="2391" t="s">
        <v>2534</v>
      </c>
      <c r="F162" s="2410"/>
      <c r="G162" s="946">
        <f>メイン!R58</f>
        <v>0</v>
      </c>
      <c r="H162" s="946">
        <f t="shared" si="37"/>
        <v>0</v>
      </c>
      <c r="I162" s="2411">
        <v>1120</v>
      </c>
      <c r="J162" s="2411">
        <v>1120</v>
      </c>
      <c r="K162" s="2411">
        <v>1120</v>
      </c>
      <c r="L162" s="2411">
        <v>1580</v>
      </c>
      <c r="M162" s="2411">
        <v>1220</v>
      </c>
      <c r="N162" s="2412">
        <v>0.81</v>
      </c>
      <c r="O162" s="2412">
        <v>0.09</v>
      </c>
      <c r="P162" s="2412">
        <v>9.999999999999995E-2</v>
      </c>
      <c r="Q162" s="2413" t="s">
        <v>2544</v>
      </c>
      <c r="R162" s="2414">
        <f t="shared" si="36"/>
        <v>5.4160770491803276E-2</v>
      </c>
      <c r="S162" s="946"/>
    </row>
    <row r="163" spans="2:27" ht="14.25" customHeight="1">
      <c r="B163" s="946"/>
      <c r="C163" s="946"/>
      <c r="D163" s="2416"/>
      <c r="E163" s="2384" t="s">
        <v>2535</v>
      </c>
      <c r="F163" s="2386"/>
      <c r="G163" s="946">
        <f>メイン!R59</f>
        <v>0</v>
      </c>
      <c r="H163" s="946">
        <f t="shared" si="37"/>
        <v>0</v>
      </c>
      <c r="I163" s="2411">
        <v>1910</v>
      </c>
      <c r="J163" s="2411">
        <v>1910</v>
      </c>
      <c r="K163" s="2411">
        <v>1910</v>
      </c>
      <c r="L163" s="2411">
        <v>1300</v>
      </c>
      <c r="M163" s="2411">
        <v>1130</v>
      </c>
      <c r="N163" s="2412">
        <v>0.92</v>
      </c>
      <c r="O163" s="2412">
        <v>0.06</v>
      </c>
      <c r="P163" s="2412">
        <v>0.02</v>
      </c>
      <c r="Q163" s="2413" t="s">
        <v>2544</v>
      </c>
      <c r="R163" s="2414">
        <f t="shared" si="36"/>
        <v>5.2998344262295077E-2</v>
      </c>
      <c r="S163" s="946"/>
    </row>
    <row r="164" spans="2:27" ht="14.25" customHeight="1">
      <c r="B164" s="946"/>
      <c r="C164" s="946"/>
      <c r="D164" s="2391" t="s">
        <v>528</v>
      </c>
      <c r="E164" s="2392"/>
      <c r="F164" s="2410"/>
      <c r="G164" s="946">
        <f>メイン!R60</f>
        <v>0</v>
      </c>
      <c r="H164" s="946">
        <f t="shared" si="37"/>
        <v>0</v>
      </c>
      <c r="I164" s="2411">
        <v>498</v>
      </c>
      <c r="J164" s="2411">
        <v>498</v>
      </c>
      <c r="K164" s="2411">
        <v>498</v>
      </c>
      <c r="L164" s="2411">
        <v>498</v>
      </c>
      <c r="M164" s="2411">
        <v>498</v>
      </c>
      <c r="N164" s="2412">
        <v>1</v>
      </c>
      <c r="O164" s="2412">
        <v>0</v>
      </c>
      <c r="P164" s="2412">
        <v>0</v>
      </c>
      <c r="Q164" s="2413" t="s">
        <v>2544</v>
      </c>
      <c r="R164" s="2414">
        <f t="shared" si="36"/>
        <v>5.2868852459016395E-2</v>
      </c>
      <c r="S164" s="946"/>
    </row>
    <row r="165" spans="2:27" ht="14.25" customHeight="1">
      <c r="B165" s="946"/>
      <c r="C165" s="946"/>
      <c r="D165" s="2391" t="s">
        <v>522</v>
      </c>
      <c r="E165" s="2392"/>
      <c r="F165" s="2410"/>
      <c r="G165" s="946">
        <f>メイン!R61</f>
        <v>0</v>
      </c>
      <c r="H165" s="946">
        <f t="shared" si="37"/>
        <v>0</v>
      </c>
      <c r="I165" s="2411">
        <v>2210</v>
      </c>
      <c r="J165" s="2411">
        <v>2210</v>
      </c>
      <c r="K165" s="2411">
        <v>2210</v>
      </c>
      <c r="L165" s="2411">
        <v>2450</v>
      </c>
      <c r="M165" s="2411">
        <v>2920</v>
      </c>
      <c r="N165" s="2412">
        <v>0.65</v>
      </c>
      <c r="O165" s="2412">
        <v>0.15</v>
      </c>
      <c r="P165" s="2412">
        <v>0.2</v>
      </c>
      <c r="Q165" s="2413" t="s">
        <v>2544</v>
      </c>
      <c r="R165" s="2414">
        <f t="shared" si="36"/>
        <v>5.5544754098360655E-2</v>
      </c>
      <c r="S165" s="946"/>
    </row>
    <row r="166" spans="2:27" ht="14.25" customHeight="1">
      <c r="B166" s="946"/>
      <c r="C166" s="946"/>
      <c r="D166" s="2391" t="s">
        <v>2525</v>
      </c>
      <c r="E166" s="2392"/>
      <c r="F166" s="2410"/>
      <c r="G166" s="946">
        <f>メイン!R62</f>
        <v>0</v>
      </c>
      <c r="H166" s="946">
        <f t="shared" si="37"/>
        <v>0</v>
      </c>
      <c r="I166" s="2411">
        <v>2440</v>
      </c>
      <c r="J166" s="2411">
        <v>2440</v>
      </c>
      <c r="K166" s="2411">
        <v>2440</v>
      </c>
      <c r="L166" s="2411">
        <v>2740</v>
      </c>
      <c r="M166" s="2411">
        <v>2740</v>
      </c>
      <c r="N166" s="2412">
        <v>0.77</v>
      </c>
      <c r="O166" s="2412">
        <v>0.1</v>
      </c>
      <c r="P166" s="2412">
        <v>0.13</v>
      </c>
      <c r="Q166" s="2413" t="s">
        <v>2544</v>
      </c>
      <c r="R166" s="2414">
        <f t="shared" si="36"/>
        <v>5.4600516393442627E-2</v>
      </c>
      <c r="S166" s="946"/>
    </row>
    <row r="167" spans="2:27" ht="13.5" hidden="1" customHeight="1">
      <c r="B167" s="946"/>
      <c r="C167" s="946"/>
      <c r="D167" s="2395"/>
      <c r="E167" s="2403"/>
      <c r="F167" s="2404"/>
      <c r="G167" s="946">
        <f>メイン!R63</f>
        <v>0</v>
      </c>
      <c r="H167" s="946">
        <f>IF(G167&gt;=$I$149,I167,IF(G167&gt;=$J$149,J167,IF(G167&gt;=$K$149,K167,IF(G167&gt;=$L$149,L167,IF(G167&gt;=$M$149,M167,0)))))</f>
        <v>0</v>
      </c>
      <c r="I167" s="2411"/>
      <c r="J167" s="2411"/>
      <c r="K167" s="2411"/>
      <c r="L167" s="2411"/>
      <c r="M167" s="2411"/>
      <c r="N167" s="2398">
        <f>I96</f>
        <v>5.2868852459016395E-2</v>
      </c>
      <c r="O167" s="2399">
        <f>I97</f>
        <v>4.9799999999999997E-2</v>
      </c>
      <c r="P167" s="2399">
        <f>I99</f>
        <v>6.7799999999999999E-2</v>
      </c>
      <c r="Q167" s="2400">
        <f>I102</f>
        <v>5.8999999999999997E-2</v>
      </c>
      <c r="R167" s="2387"/>
      <c r="S167" s="946"/>
    </row>
    <row r="168" spans="2:27" ht="14.25" customHeight="1">
      <c r="B168" s="946"/>
      <c r="C168" s="946"/>
      <c r="D168" s="2401" t="s">
        <v>2269</v>
      </c>
      <c r="E168" s="2418" t="s">
        <v>2556</v>
      </c>
      <c r="F168" s="2419"/>
      <c r="G168" s="946"/>
      <c r="H168" s="946" t="str">
        <f>IF(G168&gt;=$I$149,I168,IF(G168&gt;=$J$149,J168,IF(G168&gt;=$K$149,K168,IF(G168&gt;=$L$149,L168,IF(G168&gt;=$M$149,M168,0)))))</f>
        <v>-</v>
      </c>
      <c r="I168" s="2520" t="s">
        <v>2544</v>
      </c>
      <c r="J168" s="2520" t="s">
        <v>2544</v>
      </c>
      <c r="K168" s="2520" t="s">
        <v>2544</v>
      </c>
      <c r="L168" s="2520" t="s">
        <v>2544</v>
      </c>
      <c r="M168" s="2520" t="s">
        <v>2544</v>
      </c>
      <c r="N168" s="2412">
        <v>0.51</v>
      </c>
      <c r="O168" s="2412">
        <v>0.21</v>
      </c>
      <c r="P168" s="2412">
        <v>0.18</v>
      </c>
      <c r="Q168" s="2412">
        <v>0.1</v>
      </c>
      <c r="R168" s="2414">
        <f>SUMPRODUCT(N168:Q168,$N$167:$Q$167)</f>
        <v>5.5525114754098361E-2</v>
      </c>
      <c r="S168" s="946"/>
    </row>
    <row r="169" spans="2:27" ht="14.25" customHeight="1">
      <c r="B169" s="946"/>
      <c r="C169" s="946"/>
      <c r="D169" s="2420"/>
      <c r="E169" s="2421" t="s">
        <v>534</v>
      </c>
      <c r="F169" s="2422"/>
      <c r="G169" s="946"/>
      <c r="H169" s="946" t="str">
        <f>IF(G169&gt;=$I$149,I169,IF(G169&gt;=$J$149,J169,IF(G169&gt;=$K$149,K169,IF(G169&gt;=$L$149,L169,IF(G169&gt;=$M$149,M169,0)))))</f>
        <v>-</v>
      </c>
      <c r="I169" s="2520" t="s">
        <v>2544</v>
      </c>
      <c r="J169" s="2520" t="s">
        <v>2544</v>
      </c>
      <c r="K169" s="2520" t="s">
        <v>2544</v>
      </c>
      <c r="L169" s="2520" t="s">
        <v>2544</v>
      </c>
      <c r="M169" s="2520" t="s">
        <v>2544</v>
      </c>
      <c r="N169" s="2412">
        <v>1</v>
      </c>
      <c r="O169" s="2412">
        <v>0</v>
      </c>
      <c r="P169" s="2412">
        <v>0</v>
      </c>
      <c r="Q169" s="2413" t="s">
        <v>2544</v>
      </c>
      <c r="R169" s="2414">
        <f t="shared" ref="R169" si="38">SUMPRODUCT(N169:P169,$N$149:$P$149)</f>
        <v>5.2868852459016395E-2</v>
      </c>
      <c r="S169" s="946"/>
    </row>
    <row r="170" spans="2:27" s="2681" customFormat="1" ht="14.25" hidden="1" customHeight="1">
      <c r="B170" s="946"/>
      <c r="C170" s="946"/>
      <c r="D170" s="2424" t="s">
        <v>2557</v>
      </c>
      <c r="E170" s="2712"/>
      <c r="F170" s="2422"/>
      <c r="G170" s="946"/>
      <c r="H170" s="946"/>
      <c r="I170" s="2520" t="s">
        <v>2544</v>
      </c>
      <c r="J170" s="2520" t="s">
        <v>2544</v>
      </c>
      <c r="K170" s="2520" t="s">
        <v>2544</v>
      </c>
      <c r="L170" s="2520" t="s">
        <v>2544</v>
      </c>
      <c r="M170" s="2520" t="s">
        <v>2544</v>
      </c>
      <c r="N170" s="2412"/>
      <c r="O170" s="2412"/>
      <c r="P170" s="2412"/>
      <c r="Q170" s="2413" t="s">
        <v>2544</v>
      </c>
      <c r="R170" s="2414">
        <f>SUMPRODUCT(N170:Q170,$N$149:$Q$149)</f>
        <v>0</v>
      </c>
      <c r="S170" s="946"/>
    </row>
    <row r="171" spans="2:27" ht="14.25" customHeight="1">
      <c r="B171" s="946"/>
      <c r="C171" s="946"/>
      <c r="D171" s="2483" t="s">
        <v>1098</v>
      </c>
      <c r="E171" s="2423" t="s">
        <v>2563</v>
      </c>
      <c r="F171" s="946"/>
      <c r="G171" s="946"/>
      <c r="H171" s="946"/>
      <c r="I171" s="946"/>
      <c r="J171" s="946"/>
      <c r="K171" s="946"/>
      <c r="L171" s="946"/>
      <c r="M171" s="946"/>
      <c r="N171" s="946"/>
      <c r="O171" s="946"/>
      <c r="P171" s="2423" t="s">
        <v>2545</v>
      </c>
      <c r="Q171" s="946"/>
      <c r="R171" s="946"/>
      <c r="S171" s="946"/>
    </row>
    <row r="172" spans="2:27" ht="14.25" customHeight="1">
      <c r="B172" s="946"/>
      <c r="C172" s="946"/>
      <c r="D172" s="946"/>
      <c r="E172" s="2423" t="s">
        <v>410</v>
      </c>
      <c r="F172" s="946"/>
      <c r="G172" s="946"/>
      <c r="H172" s="946"/>
      <c r="I172" s="946"/>
      <c r="J172" s="946"/>
      <c r="K172" s="946"/>
      <c r="L172" s="946"/>
      <c r="M172" s="946"/>
      <c r="N172" s="946"/>
      <c r="O172" s="946"/>
      <c r="P172" s="2423"/>
      <c r="Q172" s="946"/>
      <c r="R172" s="946"/>
      <c r="S172" s="946"/>
    </row>
    <row r="173" spans="2:27" ht="14.25" customHeight="1">
      <c r="B173" s="946"/>
      <c r="C173" s="946"/>
      <c r="D173" s="946"/>
      <c r="E173" s="2423" t="s">
        <v>2564</v>
      </c>
      <c r="F173" s="946"/>
      <c r="G173" s="946"/>
      <c r="H173" s="946"/>
      <c r="I173" s="946"/>
      <c r="J173" s="946"/>
      <c r="K173" s="946"/>
      <c r="L173" s="946"/>
      <c r="M173" s="946"/>
      <c r="N173" s="946"/>
      <c r="O173" s="946"/>
      <c r="P173" s="2423"/>
      <c r="Q173" s="946"/>
      <c r="R173" s="946"/>
      <c r="S173" s="946"/>
    </row>
    <row r="174" spans="2:27" ht="6.75" customHeight="1">
      <c r="B174" s="946"/>
      <c r="C174" s="946"/>
      <c r="D174" s="946"/>
      <c r="E174" s="946"/>
      <c r="F174" s="946"/>
      <c r="G174" s="946"/>
      <c r="H174" s="946"/>
      <c r="I174" s="946"/>
      <c r="J174" s="946"/>
      <c r="K174" s="946"/>
      <c r="L174" s="946"/>
      <c r="M174" s="946"/>
      <c r="N174" s="946"/>
      <c r="O174" s="946"/>
      <c r="P174" s="946"/>
      <c r="Q174" s="946"/>
      <c r="R174" s="946"/>
      <c r="S174" s="946"/>
    </row>
    <row r="175" spans="2:27" ht="14.25" customHeight="1">
      <c r="B175" s="946"/>
      <c r="C175" s="946"/>
      <c r="D175" s="2515" t="s">
        <v>3234</v>
      </c>
      <c r="E175" s="946"/>
      <c r="F175" s="946"/>
      <c r="G175" s="946"/>
      <c r="H175" s="946"/>
      <c r="I175" s="946"/>
      <c r="J175" s="946"/>
      <c r="K175" s="946"/>
      <c r="L175" s="946"/>
      <c r="M175" s="946"/>
      <c r="N175" s="2507"/>
      <c r="O175" s="946"/>
      <c r="P175" s="946"/>
      <c r="Q175" s="2483" t="s">
        <v>3192</v>
      </c>
      <c r="R175" s="946"/>
      <c r="S175" s="946"/>
    </row>
    <row r="176" spans="2:27" ht="14.25" customHeight="1">
      <c r="B176" s="946"/>
      <c r="C176" s="946"/>
      <c r="D176" s="2424" t="s">
        <v>2546</v>
      </c>
      <c r="E176" s="2425"/>
      <c r="F176" s="2394" t="s">
        <v>3235</v>
      </c>
      <c r="G176" s="946"/>
      <c r="H176" s="946"/>
      <c r="I176" s="2387" t="s">
        <v>2557</v>
      </c>
      <c r="J176" s="2424" t="s">
        <v>2547</v>
      </c>
      <c r="K176" s="2425"/>
      <c r="L176" s="2425"/>
      <c r="M176" s="2425"/>
      <c r="N176" s="2425"/>
      <c r="O176" s="2425"/>
      <c r="P176" s="2435" t="s">
        <v>3125</v>
      </c>
      <c r="Q176" s="2393"/>
      <c r="R176" s="946"/>
      <c r="T176" s="2524" t="s">
        <v>3221</v>
      </c>
      <c r="U176" s="2522"/>
      <c r="V176" s="2522"/>
      <c r="W176" s="2522"/>
      <c r="X176" s="2522"/>
      <c r="Y176" s="2522"/>
      <c r="Z176" s="2522"/>
      <c r="AA176" s="2522"/>
    </row>
    <row r="177" spans="2:27" ht="14.25" customHeight="1">
      <c r="B177" s="946"/>
      <c r="C177" s="946"/>
      <c r="D177" s="2387" t="s">
        <v>2548</v>
      </c>
      <c r="E177" s="2387" t="s">
        <v>2549</v>
      </c>
      <c r="F177" s="2401" t="s">
        <v>1469</v>
      </c>
      <c r="G177" s="946"/>
      <c r="H177" s="946">
        <v>1</v>
      </c>
      <c r="I177" s="2394">
        <f>メイン!K15</f>
        <v>6</v>
      </c>
      <c r="J177" s="2387">
        <v>1</v>
      </c>
      <c r="K177" s="2387">
        <v>2</v>
      </c>
      <c r="L177" s="2387">
        <v>3</v>
      </c>
      <c r="M177" s="2387">
        <v>4</v>
      </c>
      <c r="N177" s="2387">
        <v>5</v>
      </c>
      <c r="O177" s="2387">
        <v>6</v>
      </c>
      <c r="P177" s="2387">
        <v>7</v>
      </c>
      <c r="Q177" s="2387">
        <v>8</v>
      </c>
      <c r="R177" s="946"/>
      <c r="T177" s="2525">
        <v>1</v>
      </c>
      <c r="U177" s="2525">
        <v>2</v>
      </c>
      <c r="V177" s="2525">
        <v>3</v>
      </c>
      <c r="W177" s="2525">
        <v>4</v>
      </c>
      <c r="X177" s="2525">
        <v>5</v>
      </c>
      <c r="Y177" s="2525">
        <v>6</v>
      </c>
      <c r="Z177" s="2525">
        <v>7</v>
      </c>
      <c r="AA177" s="2525">
        <v>8</v>
      </c>
    </row>
    <row r="178" spans="2:27" ht="14.25" customHeight="1">
      <c r="B178" s="946"/>
      <c r="C178" s="946"/>
      <c r="D178" s="2401"/>
      <c r="E178" s="2514"/>
      <c r="F178" s="2387" t="s">
        <v>2617</v>
      </c>
      <c r="G178" s="2387" t="s">
        <v>3193</v>
      </c>
      <c r="H178" s="2387">
        <v>2</v>
      </c>
      <c r="I178" s="2426">
        <f>HLOOKUP($I$177,$J$177:$Q$195,H178)</f>
        <v>1100</v>
      </c>
      <c r="J178" s="2426">
        <v>1484</v>
      </c>
      <c r="K178" s="2426">
        <v>1298</v>
      </c>
      <c r="L178" s="2426">
        <v>1189</v>
      </c>
      <c r="M178" s="2426">
        <v>1246</v>
      </c>
      <c r="N178" s="2426">
        <v>1163</v>
      </c>
      <c r="O178" s="2426">
        <v>1100</v>
      </c>
      <c r="P178" s="2426">
        <v>976</v>
      </c>
      <c r="Q178" s="2426">
        <v>888</v>
      </c>
      <c r="R178" s="946"/>
      <c r="T178" s="2526">
        <f t="shared" ref="T178:AA178" si="39">MAX(J178:J195)</f>
        <v>1721</v>
      </c>
      <c r="U178" s="2526">
        <f t="shared" si="39"/>
        <v>1502</v>
      </c>
      <c r="V178" s="2526">
        <f t="shared" si="39"/>
        <v>1413</v>
      </c>
      <c r="W178" s="2526">
        <f t="shared" si="39"/>
        <v>1464</v>
      </c>
      <c r="X178" s="2526">
        <f t="shared" si="39"/>
        <v>1374</v>
      </c>
      <c r="Y178" s="2526">
        <f t="shared" si="39"/>
        <v>1343</v>
      </c>
      <c r="Z178" s="2526">
        <f t="shared" si="39"/>
        <v>1164</v>
      </c>
      <c r="AA178" s="2526">
        <f t="shared" si="39"/>
        <v>1017</v>
      </c>
    </row>
    <row r="179" spans="2:27" ht="14.25" customHeight="1">
      <c r="B179" s="946"/>
      <c r="C179" s="946"/>
      <c r="D179" s="2401" t="s">
        <v>2552</v>
      </c>
      <c r="E179" s="946" t="s">
        <v>2550</v>
      </c>
      <c r="F179" s="2387" t="s">
        <v>2551</v>
      </c>
      <c r="G179" s="2387" t="s">
        <v>1470</v>
      </c>
      <c r="H179" s="2387">
        <v>3</v>
      </c>
      <c r="I179" s="2426">
        <f t="shared" ref="I179:I194" si="40">HLOOKUP($I$177,$J$177:$Q$195,H179)</f>
        <v>1268</v>
      </c>
      <c r="J179" s="2426">
        <v>1721</v>
      </c>
      <c r="K179" s="2426">
        <v>1502</v>
      </c>
      <c r="L179" s="2426">
        <v>1373</v>
      </c>
      <c r="M179" s="2426">
        <v>1440</v>
      </c>
      <c r="N179" s="2426">
        <v>1343</v>
      </c>
      <c r="O179" s="2426">
        <v>1268</v>
      </c>
      <c r="P179" s="2426">
        <v>1121</v>
      </c>
      <c r="Q179" s="2426">
        <v>1017</v>
      </c>
      <c r="R179" s="946"/>
      <c r="T179" s="2527">
        <f>J178</f>
        <v>1484</v>
      </c>
      <c r="U179" s="2527">
        <f>K178</f>
        <v>1298</v>
      </c>
      <c r="V179" s="2527">
        <f>L184</f>
        <v>1223</v>
      </c>
      <c r="W179" s="2527">
        <f>M184</f>
        <v>1266</v>
      </c>
      <c r="X179" s="2527">
        <f>N184</f>
        <v>1190</v>
      </c>
      <c r="Y179" s="2527">
        <f>O184</f>
        <v>1163</v>
      </c>
      <c r="Z179" s="2527">
        <f>P184</f>
        <v>1012</v>
      </c>
      <c r="AA179" s="2527">
        <f>Q178</f>
        <v>888</v>
      </c>
    </row>
    <row r="180" spans="2:27" ht="14.25" customHeight="1">
      <c r="B180" s="946"/>
      <c r="C180" s="946"/>
      <c r="D180" s="2401"/>
      <c r="E180" s="946"/>
      <c r="F180" s="2387" t="s">
        <v>3194</v>
      </c>
      <c r="G180" s="2387" t="s">
        <v>3195</v>
      </c>
      <c r="H180" s="946">
        <v>4</v>
      </c>
      <c r="I180" s="2426">
        <f t="shared" si="40"/>
        <v>1016</v>
      </c>
      <c r="J180" s="2426">
        <v>1365</v>
      </c>
      <c r="K180" s="2426">
        <v>1196</v>
      </c>
      <c r="L180" s="2426">
        <v>1097</v>
      </c>
      <c r="M180" s="2426">
        <v>1149</v>
      </c>
      <c r="N180" s="2426">
        <v>1074</v>
      </c>
      <c r="O180" s="2426">
        <v>1016</v>
      </c>
      <c r="P180" s="2426">
        <v>903</v>
      </c>
      <c r="Q180" s="2426">
        <v>823</v>
      </c>
      <c r="R180" s="946"/>
      <c r="S180" s="946"/>
    </row>
    <row r="181" spans="2:27" ht="14.25" customHeight="1">
      <c r="B181" s="946"/>
      <c r="C181" s="946"/>
      <c r="D181" s="2516"/>
      <c r="E181" s="2394"/>
      <c r="F181" s="2393" t="s">
        <v>2617</v>
      </c>
      <c r="G181" s="2387" t="s">
        <v>3196</v>
      </c>
      <c r="H181" s="2387">
        <v>5</v>
      </c>
      <c r="I181" s="2426">
        <f t="shared" si="40"/>
        <v>926</v>
      </c>
      <c r="J181" s="2426">
        <v>1466</v>
      </c>
      <c r="K181" s="2426">
        <v>1282</v>
      </c>
      <c r="L181" s="2426">
        <v>1155</v>
      </c>
      <c r="M181" s="2426">
        <v>1179</v>
      </c>
      <c r="N181" s="2426">
        <v>1092</v>
      </c>
      <c r="O181" s="2426">
        <v>926</v>
      </c>
      <c r="P181" s="2426">
        <v>752</v>
      </c>
      <c r="Q181" s="2426">
        <v>556</v>
      </c>
      <c r="R181" s="946"/>
      <c r="S181" s="946"/>
    </row>
    <row r="182" spans="2:27" ht="14.25" customHeight="1">
      <c r="B182" s="946"/>
      <c r="C182" s="946"/>
      <c r="D182" s="2517" t="s">
        <v>2552</v>
      </c>
      <c r="E182" s="2401" t="s">
        <v>2553</v>
      </c>
      <c r="F182" s="2393" t="s">
        <v>2551</v>
      </c>
      <c r="G182" s="2387" t="s">
        <v>1471</v>
      </c>
      <c r="H182" s="2387">
        <v>6</v>
      </c>
      <c r="I182" s="2426">
        <f t="shared" si="40"/>
        <v>1063</v>
      </c>
      <c r="J182" s="2426">
        <v>1700</v>
      </c>
      <c r="K182" s="2426">
        <v>1483</v>
      </c>
      <c r="L182" s="2426">
        <v>1333</v>
      </c>
      <c r="M182" s="2426">
        <v>1361</v>
      </c>
      <c r="N182" s="2426">
        <v>1258</v>
      </c>
      <c r="O182" s="2426">
        <v>1063</v>
      </c>
      <c r="P182" s="2426">
        <v>857</v>
      </c>
      <c r="Q182" s="2426">
        <v>625</v>
      </c>
      <c r="R182" s="946"/>
      <c r="S182" s="946"/>
    </row>
    <row r="183" spans="2:27" ht="14.25" customHeight="1">
      <c r="B183" s="946"/>
      <c r="C183" s="946"/>
      <c r="D183" s="2518"/>
      <c r="E183" s="2420"/>
      <c r="F183" s="2393" t="s">
        <v>3194</v>
      </c>
      <c r="G183" s="2387" t="s">
        <v>3197</v>
      </c>
      <c r="H183" s="946">
        <v>7</v>
      </c>
      <c r="I183" s="2426">
        <f t="shared" si="40"/>
        <v>858</v>
      </c>
      <c r="J183" s="2426">
        <v>1348</v>
      </c>
      <c r="K183" s="2426">
        <v>1182</v>
      </c>
      <c r="L183" s="2426">
        <v>1066</v>
      </c>
      <c r="M183" s="2426">
        <v>1088</v>
      </c>
      <c r="N183" s="2426">
        <v>1009</v>
      </c>
      <c r="O183" s="2426">
        <v>858</v>
      </c>
      <c r="P183" s="2426">
        <v>700</v>
      </c>
      <c r="Q183" s="2426">
        <v>521</v>
      </c>
      <c r="R183" s="946"/>
      <c r="S183" s="946"/>
    </row>
    <row r="184" spans="2:27" ht="14.25" customHeight="1">
      <c r="B184" s="946"/>
      <c r="C184" s="946"/>
      <c r="D184" s="2394"/>
      <c r="E184" s="2394"/>
      <c r="F184" s="2387" t="s">
        <v>2617</v>
      </c>
      <c r="G184" s="2387" t="s">
        <v>3198</v>
      </c>
      <c r="H184" s="2387">
        <v>8</v>
      </c>
      <c r="I184" s="2426">
        <f t="shared" si="40"/>
        <v>1163</v>
      </c>
      <c r="J184" s="2426">
        <v>1374</v>
      </c>
      <c r="K184" s="2426">
        <v>1287</v>
      </c>
      <c r="L184" s="2426">
        <v>1223</v>
      </c>
      <c r="M184" s="2426">
        <v>1266</v>
      </c>
      <c r="N184" s="2426">
        <v>1190</v>
      </c>
      <c r="O184" s="2426">
        <v>1163</v>
      </c>
      <c r="P184" s="2426">
        <v>1012</v>
      </c>
      <c r="Q184" s="2426">
        <v>888</v>
      </c>
      <c r="R184" s="946"/>
      <c r="S184" s="946"/>
    </row>
    <row r="185" spans="2:27" ht="14.25" customHeight="1">
      <c r="B185" s="946"/>
      <c r="C185" s="946"/>
      <c r="D185" s="2401" t="s">
        <v>2554</v>
      </c>
      <c r="E185" s="2401" t="s">
        <v>2550</v>
      </c>
      <c r="F185" s="2387" t="s">
        <v>2551</v>
      </c>
      <c r="G185" s="2387" t="s">
        <v>1472</v>
      </c>
      <c r="H185" s="2387">
        <v>9</v>
      </c>
      <c r="I185" s="2426">
        <f t="shared" si="40"/>
        <v>1343</v>
      </c>
      <c r="J185" s="2426">
        <v>1592</v>
      </c>
      <c r="K185" s="2426">
        <v>1489</v>
      </c>
      <c r="L185" s="2426">
        <v>1413</v>
      </c>
      <c r="M185" s="2426">
        <v>1464</v>
      </c>
      <c r="N185" s="2426">
        <v>1374</v>
      </c>
      <c r="O185" s="2426">
        <v>1343</v>
      </c>
      <c r="P185" s="2426">
        <v>1164</v>
      </c>
      <c r="Q185" s="2426">
        <v>1017</v>
      </c>
      <c r="R185" s="946"/>
      <c r="S185" s="946"/>
    </row>
    <row r="186" spans="2:27" ht="14.25" customHeight="1">
      <c r="B186" s="946"/>
      <c r="C186" s="946"/>
      <c r="D186" s="2401"/>
      <c r="E186" s="2401"/>
      <c r="F186" s="2387" t="s">
        <v>3194</v>
      </c>
      <c r="G186" s="2387" t="s">
        <v>3199</v>
      </c>
      <c r="H186" s="946">
        <v>10</v>
      </c>
      <c r="I186" s="2426">
        <f t="shared" si="40"/>
        <v>1074</v>
      </c>
      <c r="J186" s="2426">
        <v>1265</v>
      </c>
      <c r="K186" s="2426">
        <v>1186</v>
      </c>
      <c r="L186" s="2426">
        <v>1128</v>
      </c>
      <c r="M186" s="2426">
        <v>1167</v>
      </c>
      <c r="N186" s="2426">
        <v>1098</v>
      </c>
      <c r="O186" s="2426">
        <v>1074</v>
      </c>
      <c r="P186" s="2426">
        <v>936</v>
      </c>
      <c r="Q186" s="2426">
        <v>823</v>
      </c>
      <c r="R186" s="946"/>
      <c r="S186" s="946"/>
    </row>
    <row r="187" spans="2:27" ht="14.25" customHeight="1">
      <c r="B187" s="946"/>
      <c r="C187" s="946"/>
      <c r="D187" s="2516"/>
      <c r="E187" s="2394"/>
      <c r="F187" s="2393" t="s">
        <v>2617</v>
      </c>
      <c r="G187" s="2387" t="s">
        <v>3200</v>
      </c>
      <c r="H187" s="2387">
        <v>11</v>
      </c>
      <c r="I187" s="2426">
        <f t="shared" si="40"/>
        <v>990</v>
      </c>
      <c r="J187" s="2426">
        <v>1356</v>
      </c>
      <c r="K187" s="2426">
        <v>1271</v>
      </c>
      <c r="L187" s="2426">
        <v>1189</v>
      </c>
      <c r="M187" s="2426">
        <v>1199</v>
      </c>
      <c r="N187" s="2426">
        <v>1119</v>
      </c>
      <c r="O187" s="2426">
        <v>990</v>
      </c>
      <c r="P187" s="2426">
        <v>789</v>
      </c>
      <c r="Q187" s="2426">
        <v>556</v>
      </c>
      <c r="R187" s="946"/>
      <c r="S187" s="946"/>
    </row>
    <row r="188" spans="2:27" ht="14.25" customHeight="1">
      <c r="B188" s="946"/>
      <c r="C188" s="946"/>
      <c r="D188" s="2517" t="s">
        <v>2554</v>
      </c>
      <c r="E188" s="2401" t="s">
        <v>2553</v>
      </c>
      <c r="F188" s="2393" t="s">
        <v>2551</v>
      </c>
      <c r="G188" s="2387" t="s">
        <v>1473</v>
      </c>
      <c r="H188" s="2387">
        <v>12</v>
      </c>
      <c r="I188" s="2426">
        <f t="shared" si="40"/>
        <v>1137</v>
      </c>
      <c r="J188" s="2426">
        <v>1571</v>
      </c>
      <c r="K188" s="2426">
        <v>1470</v>
      </c>
      <c r="L188" s="2426">
        <v>1373</v>
      </c>
      <c r="M188" s="2426">
        <v>1385</v>
      </c>
      <c r="N188" s="2426">
        <v>1290</v>
      </c>
      <c r="O188" s="2426">
        <v>1137</v>
      </c>
      <c r="P188" s="2426">
        <v>900</v>
      </c>
      <c r="Q188" s="2426">
        <v>625</v>
      </c>
      <c r="R188" s="946"/>
      <c r="S188" s="946"/>
    </row>
    <row r="189" spans="2:27">
      <c r="B189" s="946"/>
      <c r="C189" s="946"/>
      <c r="D189" s="2518"/>
      <c r="E189" s="2420"/>
      <c r="F189" s="2393" t="s">
        <v>3194</v>
      </c>
      <c r="G189" s="2387" t="s">
        <v>3201</v>
      </c>
      <c r="H189" s="946">
        <v>13</v>
      </c>
      <c r="I189" s="2426">
        <f t="shared" si="40"/>
        <v>916</v>
      </c>
      <c r="J189" s="2426">
        <v>1249</v>
      </c>
      <c r="K189" s="2426">
        <v>1172</v>
      </c>
      <c r="L189" s="2426">
        <v>1097</v>
      </c>
      <c r="M189" s="2426">
        <v>1106</v>
      </c>
      <c r="N189" s="2426">
        <v>1033</v>
      </c>
      <c r="O189" s="2426">
        <v>916</v>
      </c>
      <c r="P189" s="2426">
        <v>733</v>
      </c>
      <c r="Q189" s="2426">
        <v>521</v>
      </c>
      <c r="R189" s="946"/>
      <c r="S189" s="946"/>
    </row>
    <row r="190" spans="2:27" s="2507" customFormat="1">
      <c r="B190" s="946"/>
      <c r="C190" s="946"/>
      <c r="D190" s="2394"/>
      <c r="E190" s="2482"/>
      <c r="F190" s="2387" t="s">
        <v>2617</v>
      </c>
      <c r="G190" s="2387" t="s">
        <v>3202</v>
      </c>
      <c r="H190" s="2387">
        <v>14</v>
      </c>
      <c r="I190" s="2426">
        <f t="shared" si="40"/>
        <v>901</v>
      </c>
      <c r="J190" s="2426">
        <v>1024</v>
      </c>
      <c r="K190" s="2426">
        <v>966</v>
      </c>
      <c r="L190" s="2426">
        <v>916</v>
      </c>
      <c r="M190" s="2426">
        <v>941</v>
      </c>
      <c r="N190" s="2426">
        <v>856</v>
      </c>
      <c r="O190" s="2426">
        <v>901</v>
      </c>
      <c r="P190" s="2426">
        <v>869</v>
      </c>
      <c r="Q190" s="2426">
        <v>888</v>
      </c>
      <c r="R190" s="946"/>
      <c r="S190" s="946"/>
    </row>
    <row r="191" spans="2:27" s="2507" customFormat="1">
      <c r="B191" s="946"/>
      <c r="C191" s="946"/>
      <c r="D191" s="2401" t="s">
        <v>2555</v>
      </c>
      <c r="E191" s="2519" t="s">
        <v>2550</v>
      </c>
      <c r="F191" s="2387" t="s">
        <v>2551</v>
      </c>
      <c r="G191" s="2387" t="s">
        <v>1474</v>
      </c>
      <c r="H191" s="2387">
        <v>15</v>
      </c>
      <c r="I191" s="2426">
        <f t="shared" si="40"/>
        <v>1033</v>
      </c>
      <c r="J191" s="2426">
        <v>1178</v>
      </c>
      <c r="K191" s="2426">
        <v>1110</v>
      </c>
      <c r="L191" s="2426">
        <v>1050</v>
      </c>
      <c r="M191" s="2426">
        <v>1080</v>
      </c>
      <c r="N191" s="2426">
        <v>97</v>
      </c>
      <c r="O191" s="2426">
        <v>1033</v>
      </c>
      <c r="P191" s="2426">
        <v>995</v>
      </c>
      <c r="Q191" s="2426">
        <v>1017</v>
      </c>
      <c r="R191" s="946"/>
      <c r="S191" s="946"/>
    </row>
    <row r="192" spans="2:27" s="2507" customFormat="1">
      <c r="B192" s="946"/>
      <c r="C192" s="946"/>
      <c r="D192" s="2401"/>
      <c r="E192" s="2519"/>
      <c r="F192" s="2387" t="s">
        <v>3194</v>
      </c>
      <c r="G192" s="2387" t="s">
        <v>3203</v>
      </c>
      <c r="H192" s="946">
        <v>16</v>
      </c>
      <c r="I192" s="2426">
        <f t="shared" si="40"/>
        <v>835</v>
      </c>
      <c r="J192" s="2426">
        <v>947</v>
      </c>
      <c r="K192" s="2426">
        <v>894</v>
      </c>
      <c r="L192" s="2426">
        <v>849</v>
      </c>
      <c r="M192" s="2426">
        <v>871</v>
      </c>
      <c r="N192" s="2426">
        <v>794</v>
      </c>
      <c r="O192" s="2426">
        <v>835</v>
      </c>
      <c r="P192" s="2426">
        <v>806</v>
      </c>
      <c r="Q192" s="2426">
        <v>823</v>
      </c>
      <c r="R192" s="946"/>
      <c r="S192" s="946"/>
    </row>
    <row r="193" spans="2:19" s="2507" customFormat="1">
      <c r="B193" s="946"/>
      <c r="C193" s="946"/>
      <c r="D193" s="2516"/>
      <c r="E193" s="2394"/>
      <c r="F193" s="2393" t="s">
        <v>2617</v>
      </c>
      <c r="G193" s="2387" t="s">
        <v>3204</v>
      </c>
      <c r="H193" s="2387">
        <v>17</v>
      </c>
      <c r="I193" s="2426">
        <f t="shared" si="40"/>
        <v>727</v>
      </c>
      <c r="J193" s="2426">
        <v>1006</v>
      </c>
      <c r="K193" s="2426">
        <v>950</v>
      </c>
      <c r="L193" s="2426">
        <v>882</v>
      </c>
      <c r="M193" s="2426">
        <v>874</v>
      </c>
      <c r="N193" s="2426">
        <v>784</v>
      </c>
      <c r="O193" s="2426">
        <v>727</v>
      </c>
      <c r="P193" s="2426">
        <v>646</v>
      </c>
      <c r="Q193" s="2426">
        <v>556</v>
      </c>
      <c r="R193" s="946"/>
      <c r="S193" s="946"/>
    </row>
    <row r="194" spans="2:19" s="2507" customFormat="1">
      <c r="B194" s="946"/>
      <c r="C194" s="946"/>
      <c r="D194" s="2517" t="s">
        <v>2555</v>
      </c>
      <c r="E194" s="2401" t="s">
        <v>2553</v>
      </c>
      <c r="F194" s="2393" t="s">
        <v>2551</v>
      </c>
      <c r="G194" s="2387" t="s">
        <v>3205</v>
      </c>
      <c r="H194" s="2387">
        <v>18</v>
      </c>
      <c r="I194" s="2426">
        <f t="shared" si="40"/>
        <v>828</v>
      </c>
      <c r="J194" s="2426">
        <v>1157</v>
      </c>
      <c r="K194" s="2426">
        <v>1091</v>
      </c>
      <c r="L194" s="2426">
        <v>1010</v>
      </c>
      <c r="M194" s="2426">
        <v>1001</v>
      </c>
      <c r="N194" s="2426">
        <v>895</v>
      </c>
      <c r="O194" s="2426">
        <v>828</v>
      </c>
      <c r="P194" s="2426">
        <v>731</v>
      </c>
      <c r="Q194" s="2426">
        <v>625</v>
      </c>
      <c r="R194" s="946"/>
      <c r="S194" s="946"/>
    </row>
    <row r="195" spans="2:19" s="2507" customFormat="1">
      <c r="B195" s="946"/>
      <c r="C195" s="946"/>
      <c r="D195" s="2518"/>
      <c r="E195" s="2420"/>
      <c r="F195" s="2393" t="s">
        <v>3194</v>
      </c>
      <c r="G195" s="2387" t="s">
        <v>3206</v>
      </c>
      <c r="H195" s="2387">
        <v>19</v>
      </c>
      <c r="I195" s="2426">
        <f>HLOOKUP($I$177,$J$177:$Q$195,H195)</f>
        <v>677</v>
      </c>
      <c r="J195" s="2426">
        <v>931</v>
      </c>
      <c r="K195" s="2426">
        <v>880</v>
      </c>
      <c r="L195" s="2426">
        <v>818</v>
      </c>
      <c r="M195" s="2426">
        <v>811</v>
      </c>
      <c r="N195" s="2426">
        <v>729</v>
      </c>
      <c r="O195" s="2426">
        <v>677</v>
      </c>
      <c r="P195" s="2426">
        <v>603</v>
      </c>
      <c r="Q195" s="2426">
        <v>521</v>
      </c>
      <c r="R195" s="946"/>
      <c r="S195" s="946"/>
    </row>
    <row r="196" spans="2:19" hidden="1">
      <c r="B196" s="946"/>
      <c r="C196" s="946"/>
      <c r="D196" s="2427" t="str">
        <f>計画書!F65</f>
        <v>－</v>
      </c>
      <c r="E196" s="2427" t="str">
        <f>計画書!K65</f>
        <v>－</v>
      </c>
      <c r="F196" s="946">
        <f>計画書!N61</f>
        <v>0</v>
      </c>
      <c r="G196" s="2528" t="str">
        <f>IFERROR(D196&amp;E196&amp;計画書!N61,"-")</f>
        <v>－－</v>
      </c>
      <c r="H196" s="2528" t="str">
        <f>IFERROR(VLOOKUP(G196,G178:H195,2,0),"-")</f>
        <v>-</v>
      </c>
      <c r="I196" s="2529">
        <f>IF(H196="-",HLOOKUP($I$177,$T$177:$AA$179,2,FALSE),VLOOKUP(H196,$H$178:$I$195,2))</f>
        <v>1343</v>
      </c>
      <c r="J196" s="946"/>
      <c r="K196" s="946"/>
      <c r="L196" s="946"/>
      <c r="M196" s="946"/>
      <c r="N196" s="946"/>
      <c r="O196" s="946"/>
      <c r="P196" s="946"/>
      <c r="Q196" s="946"/>
      <c r="R196" s="946"/>
      <c r="S196" s="946"/>
    </row>
    <row r="197" spans="2:19" hidden="1">
      <c r="B197" s="946"/>
      <c r="C197" s="946"/>
      <c r="D197" s="946"/>
      <c r="E197" s="946"/>
      <c r="F197" s="946"/>
      <c r="G197" s="946" t="str">
        <f>D196&amp;E196&amp;0</f>
        <v>－－0</v>
      </c>
      <c r="H197" s="2528" t="str">
        <f>IFERROR(VLOOKUP(G197,G178:H195,2,0),"-")</f>
        <v>-</v>
      </c>
      <c r="I197" s="2529">
        <f>IF(H197="-",HLOOKUP($I$177,$T$177:$AA$179,3,FALSE),VLOOKUP(H197,$H$178:$I$195,2))</f>
        <v>1163</v>
      </c>
      <c r="J197" s="946"/>
      <c r="K197" s="946"/>
      <c r="L197" s="946"/>
      <c r="M197" s="946"/>
      <c r="N197" s="946"/>
      <c r="O197" s="946"/>
      <c r="P197" s="946"/>
      <c r="Q197" s="946"/>
      <c r="R197" s="946"/>
      <c r="S197" s="946"/>
    </row>
    <row r="198" spans="2:19">
      <c r="B198" s="946"/>
      <c r="C198" s="946"/>
      <c r="D198" s="1788"/>
      <c r="E198" s="1789"/>
      <c r="F198" s="1789"/>
      <c r="G198" s="1789"/>
      <c r="H198" s="1789"/>
      <c r="I198" s="1845"/>
      <c r="J198" s="1839"/>
      <c r="K198" s="1789"/>
      <c r="L198" s="1789"/>
      <c r="M198" s="1789"/>
      <c r="N198" s="1789"/>
      <c r="O198" s="1789"/>
      <c r="P198" s="1789"/>
      <c r="Q198" s="1789"/>
      <c r="R198" s="946"/>
      <c r="S198" s="946"/>
    </row>
    <row r="199" spans="2:19">
      <c r="C199" s="1850" t="s">
        <v>3153</v>
      </c>
      <c r="D199" s="1789"/>
      <c r="E199" s="1789"/>
      <c r="F199" s="1789"/>
      <c r="G199" s="1789"/>
      <c r="H199" s="1789"/>
      <c r="I199" s="1789"/>
      <c r="J199" s="1789"/>
      <c r="K199" s="1789"/>
      <c r="L199" s="1789"/>
      <c r="M199" s="1789"/>
      <c r="N199" s="1789"/>
      <c r="O199" s="1789"/>
      <c r="P199" s="1789"/>
      <c r="Q199" s="1789"/>
    </row>
    <row r="200" spans="2:19">
      <c r="C200" s="1851"/>
      <c r="D200" s="1789"/>
      <c r="E200" s="1789"/>
      <c r="F200" s="1789"/>
      <c r="G200" s="1789"/>
      <c r="H200" s="1789"/>
      <c r="I200" s="1789"/>
      <c r="J200" s="1789"/>
      <c r="K200" s="1789"/>
      <c r="L200" s="1789"/>
      <c r="M200" s="1789"/>
      <c r="N200" s="1789"/>
      <c r="O200" s="1789"/>
      <c r="P200" s="1789"/>
      <c r="Q200" s="1789"/>
    </row>
    <row r="201" spans="2:19">
      <c r="C201" s="1794" t="s">
        <v>2860</v>
      </c>
      <c r="D201" s="1789"/>
      <c r="E201" s="1789"/>
      <c r="F201" s="1789"/>
      <c r="G201" s="1789"/>
      <c r="H201" s="1789"/>
      <c r="I201" s="1796" t="s">
        <v>849</v>
      </c>
      <c r="J201" s="1792"/>
      <c r="K201" s="1797"/>
      <c r="L201" s="1796" t="s">
        <v>848</v>
      </c>
      <c r="M201" s="1792"/>
      <c r="N201" s="1797"/>
      <c r="O201" s="1796" t="s">
        <v>850</v>
      </c>
      <c r="P201" s="1792"/>
      <c r="Q201" s="1797"/>
    </row>
    <row r="202" spans="2:19">
      <c r="C202" s="1789"/>
      <c r="D202" s="1852" t="s">
        <v>2861</v>
      </c>
      <c r="E202" s="1789"/>
      <c r="F202" s="1789"/>
      <c r="G202" s="1827"/>
      <c r="H202" s="1827"/>
      <c r="I202" s="1803" t="s">
        <v>582</v>
      </c>
      <c r="J202" s="1803" t="s">
        <v>583</v>
      </c>
      <c r="K202" s="1803" t="s">
        <v>584</v>
      </c>
      <c r="L202" s="1803" t="s">
        <v>582</v>
      </c>
      <c r="M202" s="1803" t="s">
        <v>583</v>
      </c>
      <c r="N202" s="1803" t="s">
        <v>584</v>
      </c>
      <c r="O202" s="1803" t="s">
        <v>582</v>
      </c>
      <c r="P202" s="1803" t="s">
        <v>583</v>
      </c>
      <c r="Q202" s="1803" t="s">
        <v>584</v>
      </c>
    </row>
    <row r="203" spans="2:19">
      <c r="C203" s="1789"/>
      <c r="D203" s="1789"/>
      <c r="E203" s="1798" t="s">
        <v>585</v>
      </c>
      <c r="F203" s="1847"/>
      <c r="G203" s="1827">
        <v>1</v>
      </c>
      <c r="H203" s="1827"/>
      <c r="I203" s="1853">
        <v>60</v>
      </c>
      <c r="J203" s="1853">
        <v>60</v>
      </c>
      <c r="K203" s="1853">
        <v>60</v>
      </c>
      <c r="L203" s="1853">
        <v>60</v>
      </c>
      <c r="M203" s="1853">
        <v>60</v>
      </c>
      <c r="N203" s="1853">
        <v>60</v>
      </c>
      <c r="O203" s="1853">
        <v>60</v>
      </c>
      <c r="P203" s="1853">
        <v>60</v>
      </c>
      <c r="Q203" s="1853">
        <v>60</v>
      </c>
    </row>
    <row r="204" spans="2:19">
      <c r="C204" s="1789"/>
      <c r="D204" s="1789"/>
      <c r="E204" s="1798" t="s">
        <v>514</v>
      </c>
      <c r="F204" s="1847"/>
      <c r="G204" s="1827">
        <v>2</v>
      </c>
      <c r="H204" s="1827"/>
      <c r="I204" s="1853">
        <v>60</v>
      </c>
      <c r="J204" s="1853">
        <v>60</v>
      </c>
      <c r="K204" s="1853">
        <v>60</v>
      </c>
      <c r="L204" s="1853">
        <v>60</v>
      </c>
      <c r="M204" s="1853">
        <v>60</v>
      </c>
      <c r="N204" s="1853">
        <v>60</v>
      </c>
      <c r="O204" s="1853">
        <v>60</v>
      </c>
      <c r="P204" s="1853">
        <v>60</v>
      </c>
      <c r="Q204" s="1853">
        <v>60</v>
      </c>
    </row>
    <row r="205" spans="2:19">
      <c r="C205" s="1789"/>
      <c r="D205" s="1789"/>
      <c r="E205" s="1798" t="s">
        <v>516</v>
      </c>
      <c r="F205" s="1847"/>
      <c r="G205" s="1827">
        <v>3</v>
      </c>
      <c r="H205" s="1827"/>
      <c r="I205" s="1853">
        <v>30</v>
      </c>
      <c r="J205" s="1853">
        <v>30</v>
      </c>
      <c r="K205" s="1853">
        <v>30</v>
      </c>
      <c r="L205" s="1853">
        <v>30</v>
      </c>
      <c r="M205" s="1853">
        <v>30</v>
      </c>
      <c r="N205" s="1853">
        <v>30</v>
      </c>
      <c r="O205" s="1853">
        <v>30</v>
      </c>
      <c r="P205" s="1853">
        <v>30</v>
      </c>
      <c r="Q205" s="1853">
        <v>30</v>
      </c>
    </row>
    <row r="206" spans="2:19">
      <c r="C206" s="1789"/>
      <c r="D206" s="1789"/>
      <c r="E206" s="1798" t="s">
        <v>518</v>
      </c>
      <c r="F206" s="1847"/>
      <c r="G206" s="1827">
        <v>4</v>
      </c>
      <c r="H206" s="1827"/>
      <c r="I206" s="1853">
        <v>30</v>
      </c>
      <c r="J206" s="1853">
        <v>30</v>
      </c>
      <c r="K206" s="1853">
        <v>30</v>
      </c>
      <c r="L206" s="1853">
        <v>30</v>
      </c>
      <c r="M206" s="1853">
        <v>30</v>
      </c>
      <c r="N206" s="1853">
        <v>30</v>
      </c>
      <c r="O206" s="1853">
        <v>30</v>
      </c>
      <c r="P206" s="1853">
        <v>30</v>
      </c>
      <c r="Q206" s="1853">
        <v>30</v>
      </c>
    </row>
    <row r="207" spans="2:19">
      <c r="C207" s="1789"/>
      <c r="D207" s="1789"/>
      <c r="E207" s="1798" t="s">
        <v>2129</v>
      </c>
      <c r="F207" s="1847"/>
      <c r="G207" s="1827">
        <v>5</v>
      </c>
      <c r="H207" s="1827"/>
      <c r="I207" s="1853">
        <v>60</v>
      </c>
      <c r="J207" s="1853">
        <v>60</v>
      </c>
      <c r="K207" s="1853">
        <v>60</v>
      </c>
      <c r="L207" s="1853">
        <v>60</v>
      </c>
      <c r="M207" s="1853">
        <v>60</v>
      </c>
      <c r="N207" s="1853">
        <v>60</v>
      </c>
      <c r="O207" s="1853">
        <v>60</v>
      </c>
      <c r="P207" s="1853">
        <v>60</v>
      </c>
      <c r="Q207" s="1853">
        <v>60</v>
      </c>
    </row>
    <row r="208" spans="2:19">
      <c r="C208" s="1789"/>
      <c r="D208" s="1789"/>
      <c r="E208" s="1798" t="s">
        <v>528</v>
      </c>
      <c r="F208" s="1847"/>
      <c r="G208" s="1827">
        <v>6</v>
      </c>
      <c r="H208" s="1827"/>
      <c r="I208" s="1853">
        <v>30</v>
      </c>
      <c r="J208" s="1853">
        <v>30</v>
      </c>
      <c r="K208" s="1853">
        <v>30</v>
      </c>
      <c r="L208" s="1853">
        <v>30</v>
      </c>
      <c r="M208" s="1853">
        <v>30</v>
      </c>
      <c r="N208" s="1853">
        <v>30</v>
      </c>
      <c r="O208" s="1853">
        <v>30</v>
      </c>
      <c r="P208" s="1853">
        <v>30</v>
      </c>
      <c r="Q208" s="1853">
        <v>30</v>
      </c>
    </row>
    <row r="209" spans="3:17">
      <c r="C209" s="1789"/>
      <c r="D209" s="1789"/>
      <c r="E209" s="1798" t="s">
        <v>522</v>
      </c>
      <c r="F209" s="1847"/>
      <c r="G209" s="1827">
        <v>7</v>
      </c>
      <c r="H209" s="1827"/>
      <c r="I209" s="1853">
        <v>60</v>
      </c>
      <c r="J209" s="1853">
        <v>60</v>
      </c>
      <c r="K209" s="1853">
        <v>60</v>
      </c>
      <c r="L209" s="1853">
        <v>60</v>
      </c>
      <c r="M209" s="1853">
        <v>60</v>
      </c>
      <c r="N209" s="1853">
        <v>60</v>
      </c>
      <c r="O209" s="1853">
        <v>60</v>
      </c>
      <c r="P209" s="1853">
        <v>60</v>
      </c>
      <c r="Q209" s="1853">
        <v>60</v>
      </c>
    </row>
    <row r="210" spans="3:17">
      <c r="C210" s="1789"/>
      <c r="D210" s="1789"/>
      <c r="E210" s="1798" t="s">
        <v>358</v>
      </c>
      <c r="F210" s="1847"/>
      <c r="G210" s="1827">
        <v>8</v>
      </c>
      <c r="H210" s="1827"/>
      <c r="I210" s="1853">
        <v>60</v>
      </c>
      <c r="J210" s="1853">
        <v>60</v>
      </c>
      <c r="K210" s="1853">
        <v>60</v>
      </c>
      <c r="L210" s="1853">
        <v>60</v>
      </c>
      <c r="M210" s="1853">
        <v>60</v>
      </c>
      <c r="N210" s="1853">
        <v>60</v>
      </c>
      <c r="O210" s="1853">
        <v>60</v>
      </c>
      <c r="P210" s="1853">
        <v>60</v>
      </c>
      <c r="Q210" s="1853">
        <v>60</v>
      </c>
    </row>
    <row r="211" spans="3:17">
      <c r="C211" s="1789"/>
      <c r="D211" s="1789"/>
      <c r="E211" s="1798" t="s">
        <v>526</v>
      </c>
      <c r="F211" s="1847"/>
      <c r="G211" s="1827">
        <v>9</v>
      </c>
      <c r="H211" s="1827"/>
      <c r="I211" s="1853">
        <v>30</v>
      </c>
      <c r="J211" s="1853">
        <v>60</v>
      </c>
      <c r="K211" s="1853">
        <v>90</v>
      </c>
      <c r="L211" s="1853">
        <v>30</v>
      </c>
      <c r="M211" s="1853">
        <v>60</v>
      </c>
      <c r="N211" s="1853">
        <v>90</v>
      </c>
      <c r="O211" s="1853">
        <v>30</v>
      </c>
      <c r="P211" s="1853">
        <v>60</v>
      </c>
      <c r="Q211" s="1853">
        <v>90</v>
      </c>
    </row>
    <row r="212" spans="3:17">
      <c r="C212" s="1794"/>
      <c r="D212" s="1794"/>
      <c r="E212" s="1789"/>
      <c r="F212" s="1789"/>
      <c r="G212" s="1789"/>
      <c r="H212" s="1789"/>
      <c r="I212" s="1854"/>
      <c r="J212" s="1854"/>
      <c r="K212" s="1854"/>
      <c r="L212" s="1854"/>
      <c r="M212" s="1854"/>
      <c r="N212" s="1854"/>
      <c r="O212" s="1854"/>
      <c r="P212" s="1854"/>
      <c r="Q212" s="1854"/>
    </row>
    <row r="213" spans="3:17">
      <c r="C213" s="1794" t="s">
        <v>2621</v>
      </c>
      <c r="D213" s="1794"/>
      <c r="E213" s="1789"/>
      <c r="F213" s="1789"/>
      <c r="G213" s="1789"/>
      <c r="H213" s="1789"/>
      <c r="I213" s="983" t="s">
        <v>2862</v>
      </c>
      <c r="J213" s="1855" t="s">
        <v>2863</v>
      </c>
      <c r="K213" s="1855" t="s">
        <v>2864</v>
      </c>
      <c r="L213" s="983" t="s">
        <v>2862</v>
      </c>
      <c r="M213" s="1855" t="s">
        <v>2863</v>
      </c>
      <c r="N213" s="1855" t="s">
        <v>2864</v>
      </c>
      <c r="O213" s="983" t="s">
        <v>2862</v>
      </c>
      <c r="P213" s="1855" t="s">
        <v>2863</v>
      </c>
      <c r="Q213" s="1855" t="s">
        <v>2864</v>
      </c>
    </row>
    <row r="214" spans="3:17">
      <c r="C214" s="1789"/>
      <c r="D214" s="1789" t="s">
        <v>1916</v>
      </c>
      <c r="E214" s="1789" t="s">
        <v>2624</v>
      </c>
      <c r="F214" s="1789" t="s">
        <v>2625</v>
      </c>
      <c r="G214" s="1789"/>
      <c r="H214" s="1789"/>
      <c r="I214" s="1856">
        <v>0.56699999999999995</v>
      </c>
      <c r="J214" s="1856">
        <v>0</v>
      </c>
      <c r="K214" s="1856">
        <v>0</v>
      </c>
      <c r="L214" s="1856">
        <v>0.77200000000000002</v>
      </c>
      <c r="M214" s="1856">
        <v>0</v>
      </c>
      <c r="N214" s="1856">
        <v>0</v>
      </c>
      <c r="O214" s="1856">
        <v>0.69599999999999995</v>
      </c>
      <c r="P214" s="1856">
        <v>0</v>
      </c>
      <c r="Q214" s="1856">
        <v>0</v>
      </c>
    </row>
    <row r="215" spans="3:17">
      <c r="C215" s="1789"/>
      <c r="D215" s="1789"/>
      <c r="E215" s="1789" t="s">
        <v>2626</v>
      </c>
      <c r="F215" s="1789" t="s">
        <v>2625</v>
      </c>
      <c r="G215" s="1789"/>
      <c r="H215" s="1789"/>
      <c r="I215" s="1856">
        <v>0</v>
      </c>
      <c r="J215" s="1856">
        <v>0</v>
      </c>
      <c r="K215" s="1856">
        <v>0.56699999999999995</v>
      </c>
      <c r="L215" s="1856">
        <v>0</v>
      </c>
      <c r="M215" s="1856">
        <v>0</v>
      </c>
      <c r="N215" s="1856">
        <v>0.77200000000000002</v>
      </c>
      <c r="O215" s="1856">
        <v>0</v>
      </c>
      <c r="P215" s="1856">
        <v>0</v>
      </c>
      <c r="Q215" s="1856">
        <v>0.69599999999999995</v>
      </c>
    </row>
    <row r="216" spans="3:17">
      <c r="C216" s="1789"/>
      <c r="D216" s="1789"/>
      <c r="E216" s="1789" t="s">
        <v>2627</v>
      </c>
      <c r="F216" s="1789" t="s">
        <v>2628</v>
      </c>
      <c r="G216" s="1789"/>
      <c r="H216" s="1789"/>
      <c r="I216" s="1856">
        <v>0.13600000000000001</v>
      </c>
      <c r="J216" s="1856">
        <v>0</v>
      </c>
      <c r="K216" s="1856">
        <v>0.13600000000000001</v>
      </c>
      <c r="L216" s="1856">
        <v>3.7999999999999999E-2</v>
      </c>
      <c r="M216" s="1856">
        <v>0</v>
      </c>
      <c r="N216" s="1856">
        <v>3.7999999999999999E-2</v>
      </c>
      <c r="O216" s="1856">
        <v>0.1</v>
      </c>
      <c r="P216" s="1856">
        <v>0</v>
      </c>
      <c r="Q216" s="1856">
        <v>0.1</v>
      </c>
    </row>
    <row r="217" spans="3:17">
      <c r="C217" s="1857"/>
      <c r="D217" s="1857"/>
      <c r="E217" s="1857" t="s">
        <v>2629</v>
      </c>
      <c r="F217" s="1857" t="s">
        <v>2628</v>
      </c>
      <c r="G217" s="1857"/>
      <c r="H217" s="1857"/>
      <c r="I217" s="1856"/>
      <c r="J217" s="1856">
        <v>0</v>
      </c>
      <c r="K217" s="1856">
        <v>0</v>
      </c>
      <c r="L217" s="1856"/>
      <c r="M217" s="1856">
        <v>0</v>
      </c>
      <c r="N217" s="1856">
        <v>0</v>
      </c>
      <c r="O217" s="1856"/>
      <c r="P217" s="1856">
        <v>0</v>
      </c>
      <c r="Q217" s="1856">
        <v>0</v>
      </c>
    </row>
    <row r="218" spans="3:17">
      <c r="C218" s="1789"/>
      <c r="D218" s="1789"/>
      <c r="E218" s="1789" t="s">
        <v>2630</v>
      </c>
      <c r="F218" s="1789" t="s">
        <v>2628</v>
      </c>
      <c r="G218" s="1789"/>
      <c r="H218" s="1789"/>
      <c r="I218" s="1856">
        <v>7.0000000000000007E-2</v>
      </c>
      <c r="J218" s="1856">
        <v>0</v>
      </c>
      <c r="K218" s="1856">
        <v>7.0000000000000007E-2</v>
      </c>
      <c r="L218" s="1856">
        <v>0.10299999999999999</v>
      </c>
      <c r="M218" s="1856">
        <v>0</v>
      </c>
      <c r="N218" s="1856">
        <v>0.10299999999999999</v>
      </c>
      <c r="O218" s="1856">
        <v>7.8E-2</v>
      </c>
      <c r="P218" s="1856">
        <v>0</v>
      </c>
      <c r="Q218" s="1856">
        <v>7.8E-2</v>
      </c>
    </row>
    <row r="219" spans="3:17">
      <c r="C219" s="1789"/>
      <c r="D219" s="1789"/>
      <c r="E219" s="1789" t="s">
        <v>2267</v>
      </c>
      <c r="F219" s="1789" t="s">
        <v>2628</v>
      </c>
      <c r="G219" s="1789"/>
      <c r="H219" s="1789"/>
      <c r="I219" s="1856">
        <v>5.0000000000000001E-3</v>
      </c>
      <c r="J219" s="1856">
        <v>0</v>
      </c>
      <c r="K219" s="1856">
        <v>5.0000000000000001E-3</v>
      </c>
      <c r="L219" s="1856">
        <v>1.2999999999999999E-2</v>
      </c>
      <c r="M219" s="1856">
        <v>0</v>
      </c>
      <c r="N219" s="1856">
        <v>1.26E-2</v>
      </c>
      <c r="O219" s="1856">
        <v>8.0000000000000002E-3</v>
      </c>
      <c r="P219" s="1856">
        <v>0</v>
      </c>
      <c r="Q219" s="1856">
        <v>8.0000000000000002E-3</v>
      </c>
    </row>
    <row r="220" spans="3:17">
      <c r="C220" s="1789"/>
      <c r="D220" s="1789" t="s">
        <v>1918</v>
      </c>
      <c r="E220" s="1789" t="s">
        <v>2624</v>
      </c>
      <c r="F220" s="1789" t="s">
        <v>2625</v>
      </c>
      <c r="G220" s="1789"/>
      <c r="H220" s="1789"/>
      <c r="I220" s="1856">
        <v>0.35199999999999998</v>
      </c>
      <c r="J220" s="1856">
        <v>0</v>
      </c>
      <c r="K220" s="1856">
        <v>0</v>
      </c>
      <c r="L220" s="1856">
        <v>0.86499999999999999</v>
      </c>
      <c r="M220" s="1856">
        <v>0</v>
      </c>
      <c r="N220" s="1856">
        <v>0</v>
      </c>
      <c r="O220" s="1856">
        <v>0.95799999999999996</v>
      </c>
      <c r="P220" s="1856">
        <v>0</v>
      </c>
      <c r="Q220" s="1856">
        <v>0</v>
      </c>
    </row>
    <row r="221" spans="3:17">
      <c r="C221" s="1789"/>
      <c r="D221" s="1789"/>
      <c r="E221" s="1789" t="s">
        <v>2626</v>
      </c>
      <c r="F221" s="1789" t="s">
        <v>2625</v>
      </c>
      <c r="G221" s="1789"/>
      <c r="H221" s="1789"/>
      <c r="I221" s="1856">
        <v>0</v>
      </c>
      <c r="J221" s="1856">
        <v>0</v>
      </c>
      <c r="K221" s="1856">
        <v>0.35199999999999998</v>
      </c>
      <c r="L221" s="1856">
        <v>0</v>
      </c>
      <c r="M221" s="1856">
        <v>0</v>
      </c>
      <c r="N221" s="1856">
        <v>0.86499999999999999</v>
      </c>
      <c r="O221" s="1856">
        <v>0</v>
      </c>
      <c r="P221" s="1856">
        <v>0</v>
      </c>
      <c r="Q221" s="1856">
        <v>0.95799999999999996</v>
      </c>
    </row>
    <row r="222" spans="3:17">
      <c r="C222" s="1789"/>
      <c r="D222" s="1789"/>
      <c r="E222" s="1789" t="s">
        <v>2627</v>
      </c>
      <c r="F222" s="1789" t="s">
        <v>2628</v>
      </c>
      <c r="G222" s="1789"/>
      <c r="H222" s="1789"/>
      <c r="I222" s="1856">
        <v>0.105</v>
      </c>
      <c r="J222" s="1856">
        <v>0</v>
      </c>
      <c r="K222" s="1856">
        <v>0.105</v>
      </c>
      <c r="L222" s="1856">
        <v>5.0000000000000001E-3</v>
      </c>
      <c r="M222" s="1856">
        <v>0</v>
      </c>
      <c r="N222" s="1856">
        <v>5.0000000000000001E-3</v>
      </c>
      <c r="O222" s="1856">
        <v>7.8E-2</v>
      </c>
      <c r="P222" s="1856">
        <v>0</v>
      </c>
      <c r="Q222" s="1856">
        <v>7.8E-2</v>
      </c>
    </row>
    <row r="223" spans="3:17">
      <c r="C223" s="1857"/>
      <c r="D223" s="1857"/>
      <c r="E223" s="1857" t="s">
        <v>2629</v>
      </c>
      <c r="F223" s="1857" t="s">
        <v>2628</v>
      </c>
      <c r="G223" s="1857"/>
      <c r="H223" s="1857"/>
      <c r="I223" s="1856"/>
      <c r="J223" s="1856">
        <v>0</v>
      </c>
      <c r="K223" s="1856">
        <v>0</v>
      </c>
      <c r="L223" s="1856"/>
      <c r="M223" s="1856">
        <v>0</v>
      </c>
      <c r="N223" s="1856">
        <v>0</v>
      </c>
      <c r="O223" s="1856"/>
      <c r="P223" s="1856">
        <v>0</v>
      </c>
      <c r="Q223" s="1856">
        <v>0</v>
      </c>
    </row>
    <row r="224" spans="3:17">
      <c r="C224" s="1789"/>
      <c r="D224" s="1789"/>
      <c r="E224" s="1789" t="s">
        <v>2630</v>
      </c>
      <c r="F224" s="1789" t="s">
        <v>2628</v>
      </c>
      <c r="G224" s="1789"/>
      <c r="H224" s="1789"/>
      <c r="I224" s="1856">
        <v>4.4999999999999998E-2</v>
      </c>
      <c r="J224" s="1856">
        <v>0</v>
      </c>
      <c r="K224" s="1856">
        <v>4.4999999999999998E-2</v>
      </c>
      <c r="L224" s="1856">
        <v>0.112</v>
      </c>
      <c r="M224" s="1856">
        <v>0</v>
      </c>
      <c r="N224" s="1856">
        <v>0.112</v>
      </c>
      <c r="O224" s="1856">
        <v>0.11</v>
      </c>
      <c r="P224" s="1856">
        <v>0</v>
      </c>
      <c r="Q224" s="1856">
        <v>0.11</v>
      </c>
    </row>
    <row r="225" spans="3:17">
      <c r="C225" s="1789"/>
      <c r="D225" s="1789"/>
      <c r="E225" s="1789" t="s">
        <v>2267</v>
      </c>
      <c r="F225" s="1789" t="s">
        <v>2628</v>
      </c>
      <c r="G225" s="1789"/>
      <c r="H225" s="1789"/>
      <c r="I225" s="1856">
        <v>2E-3</v>
      </c>
      <c r="J225" s="1856">
        <v>0</v>
      </c>
      <c r="K225" s="1856">
        <v>2.3999999999999998E-3</v>
      </c>
      <c r="L225" s="1856">
        <v>1.4999999999999999E-2</v>
      </c>
      <c r="M225" s="1856">
        <v>0</v>
      </c>
      <c r="N225" s="1856">
        <v>1.47E-2</v>
      </c>
      <c r="O225" s="1856">
        <v>1.2E-2</v>
      </c>
      <c r="P225" s="1856">
        <v>0</v>
      </c>
      <c r="Q225" s="1856">
        <v>1.167E-2</v>
      </c>
    </row>
    <row r="226" spans="3:17">
      <c r="C226" s="1789"/>
      <c r="D226" s="1789" t="s">
        <v>2126</v>
      </c>
      <c r="E226" s="1789" t="s">
        <v>2624</v>
      </c>
      <c r="F226" s="1789" t="s">
        <v>2104</v>
      </c>
      <c r="G226" s="1789"/>
      <c r="H226" s="1789"/>
      <c r="I226" s="1856">
        <v>0.34200000000000003</v>
      </c>
      <c r="J226" s="1856">
        <v>0</v>
      </c>
      <c r="K226" s="1856">
        <v>0</v>
      </c>
      <c r="L226" s="1856">
        <v>0.88800000000000001</v>
      </c>
      <c r="M226" s="1856">
        <v>0</v>
      </c>
      <c r="N226" s="1856">
        <v>0</v>
      </c>
      <c r="O226" s="1856">
        <v>0.307</v>
      </c>
      <c r="P226" s="1856">
        <v>0</v>
      </c>
      <c r="Q226" s="1856">
        <v>0</v>
      </c>
    </row>
    <row r="227" spans="3:17">
      <c r="C227" s="1789"/>
      <c r="D227" s="1789"/>
      <c r="E227" s="1789" t="s">
        <v>2626</v>
      </c>
      <c r="F227" s="1789" t="s">
        <v>2625</v>
      </c>
      <c r="G227" s="1789"/>
      <c r="H227" s="1789"/>
      <c r="I227" s="1856">
        <v>0</v>
      </c>
      <c r="J227" s="1856">
        <v>0</v>
      </c>
      <c r="K227" s="1856">
        <v>0.34200000000000003</v>
      </c>
      <c r="L227" s="1856">
        <v>0</v>
      </c>
      <c r="M227" s="1856">
        <v>0</v>
      </c>
      <c r="N227" s="1856">
        <v>0.88800000000000001</v>
      </c>
      <c r="O227" s="1856">
        <v>0</v>
      </c>
      <c r="P227" s="1856">
        <v>0</v>
      </c>
      <c r="Q227" s="1856">
        <v>0.307</v>
      </c>
    </row>
    <row r="228" spans="3:17">
      <c r="C228" s="1789"/>
      <c r="D228" s="1789"/>
      <c r="E228" s="1789" t="s">
        <v>2627</v>
      </c>
      <c r="F228" s="1789" t="s">
        <v>2628</v>
      </c>
      <c r="G228" s="1789"/>
      <c r="H228" s="1789"/>
      <c r="I228" s="1856">
        <v>7.1999999999999995E-2</v>
      </c>
      <c r="J228" s="1856">
        <v>0</v>
      </c>
      <c r="K228" s="1856">
        <v>7.1999999999999995E-2</v>
      </c>
      <c r="L228" s="1856">
        <v>1.7000000000000001E-2</v>
      </c>
      <c r="M228" s="1856">
        <v>0</v>
      </c>
      <c r="N228" s="1856">
        <v>1.7000000000000001E-2</v>
      </c>
      <c r="O228" s="1856">
        <v>7.0999999999999994E-2</v>
      </c>
      <c r="P228" s="1856">
        <v>0</v>
      </c>
      <c r="Q228" s="1856">
        <v>7.0999999999999994E-2</v>
      </c>
    </row>
    <row r="229" spans="3:17">
      <c r="C229" s="1857"/>
      <c r="D229" s="1857"/>
      <c r="E229" s="1857" t="s">
        <v>2629</v>
      </c>
      <c r="F229" s="1857" t="s">
        <v>2628</v>
      </c>
      <c r="G229" s="1857"/>
      <c r="H229" s="1857"/>
      <c r="I229" s="1856"/>
      <c r="J229" s="1856">
        <v>0</v>
      </c>
      <c r="K229" s="1856">
        <v>0</v>
      </c>
      <c r="L229" s="1856"/>
      <c r="M229" s="1856">
        <v>0</v>
      </c>
      <c r="N229" s="1856">
        <v>0</v>
      </c>
      <c r="O229" s="1856"/>
      <c r="P229" s="1856">
        <v>0</v>
      </c>
      <c r="Q229" s="1856">
        <v>0</v>
      </c>
    </row>
    <row r="230" spans="3:17">
      <c r="C230" s="1789"/>
      <c r="D230" s="1789"/>
      <c r="E230" s="1789" t="s">
        <v>2630</v>
      </c>
      <c r="F230" s="1789" t="s">
        <v>2628</v>
      </c>
      <c r="G230" s="1789"/>
      <c r="H230" s="1789"/>
      <c r="I230" s="1856">
        <v>2.4E-2</v>
      </c>
      <c r="J230" s="1856">
        <v>0</v>
      </c>
      <c r="K230" s="1856">
        <v>2.4E-2</v>
      </c>
      <c r="L230" s="1856">
        <v>0.11799999999999999</v>
      </c>
      <c r="M230" s="1856">
        <v>0</v>
      </c>
      <c r="N230" s="1856">
        <v>0.11799999999999999</v>
      </c>
      <c r="O230" s="1856">
        <v>5.2999999999999999E-2</v>
      </c>
      <c r="P230" s="1856">
        <v>0</v>
      </c>
      <c r="Q230" s="1856">
        <v>5.2999999999999999E-2</v>
      </c>
    </row>
    <row r="231" spans="3:17">
      <c r="C231" s="1789"/>
      <c r="D231" s="1789"/>
      <c r="E231" s="1789" t="s">
        <v>2267</v>
      </c>
      <c r="F231" s="1789" t="s">
        <v>2628</v>
      </c>
      <c r="G231" s="1789"/>
      <c r="H231" s="1789"/>
      <c r="I231" s="1856">
        <v>2E-3</v>
      </c>
      <c r="J231" s="1856">
        <v>0</v>
      </c>
      <c r="K231" s="1856">
        <v>1.8600000000000001E-3</v>
      </c>
      <c r="L231" s="1856">
        <v>1.4999999999999999E-2</v>
      </c>
      <c r="M231" s="1856">
        <v>0</v>
      </c>
      <c r="N231" s="1856">
        <v>1.4800000000000001E-2</v>
      </c>
      <c r="O231" s="1856">
        <v>5.0000000000000001E-3</v>
      </c>
      <c r="P231" s="1856">
        <v>0</v>
      </c>
      <c r="Q231" s="1856">
        <v>4.8300000000000001E-3</v>
      </c>
    </row>
    <row r="232" spans="3:17">
      <c r="C232" s="1789"/>
      <c r="D232" s="1789" t="s">
        <v>2268</v>
      </c>
      <c r="E232" s="1789" t="s">
        <v>2624</v>
      </c>
      <c r="F232" s="1789" t="s">
        <v>2625</v>
      </c>
      <c r="G232" s="1789"/>
      <c r="H232" s="1789"/>
      <c r="I232" s="1856">
        <v>0.34200000000000003</v>
      </c>
      <c r="J232" s="1856">
        <v>0</v>
      </c>
      <c r="K232" s="1856">
        <v>0</v>
      </c>
      <c r="L232" s="1856">
        <v>0.88800000000000001</v>
      </c>
      <c r="M232" s="1856">
        <v>0</v>
      </c>
      <c r="N232" s="1856">
        <v>0</v>
      </c>
      <c r="O232" s="1856">
        <v>0.307</v>
      </c>
      <c r="P232" s="1856">
        <v>0</v>
      </c>
      <c r="Q232" s="1856">
        <v>0</v>
      </c>
    </row>
    <row r="233" spans="3:17">
      <c r="C233" s="1789"/>
      <c r="D233" s="1789"/>
      <c r="E233" s="1789" t="s">
        <v>2626</v>
      </c>
      <c r="F233" s="1789" t="s">
        <v>2625</v>
      </c>
      <c r="G233" s="1789"/>
      <c r="H233" s="1789"/>
      <c r="I233" s="1856">
        <v>0</v>
      </c>
      <c r="J233" s="1856">
        <v>0</v>
      </c>
      <c r="K233" s="1856">
        <v>0.34200000000000003</v>
      </c>
      <c r="L233" s="1856">
        <v>0</v>
      </c>
      <c r="M233" s="1856">
        <v>0</v>
      </c>
      <c r="N233" s="1856">
        <v>0.88800000000000001</v>
      </c>
      <c r="O233" s="1856">
        <v>0</v>
      </c>
      <c r="P233" s="1856">
        <v>0</v>
      </c>
      <c r="Q233" s="1856">
        <v>0.307</v>
      </c>
    </row>
    <row r="234" spans="3:17">
      <c r="C234" s="1789"/>
      <c r="D234" s="1789"/>
      <c r="E234" s="1789" t="s">
        <v>2627</v>
      </c>
      <c r="F234" s="1789" t="s">
        <v>2628</v>
      </c>
      <c r="G234" s="1789"/>
      <c r="H234" s="1789"/>
      <c r="I234" s="1856">
        <v>7.1999999999999995E-2</v>
      </c>
      <c r="J234" s="1856">
        <v>0</v>
      </c>
      <c r="K234" s="1856">
        <v>7.1999999999999995E-2</v>
      </c>
      <c r="L234" s="1856">
        <v>1.7000000000000001E-2</v>
      </c>
      <c r="M234" s="1856">
        <v>0</v>
      </c>
      <c r="N234" s="1856">
        <v>1.7000000000000001E-2</v>
      </c>
      <c r="O234" s="1856">
        <v>7.0999999999999994E-2</v>
      </c>
      <c r="P234" s="1856">
        <v>0</v>
      </c>
      <c r="Q234" s="1856">
        <v>7.0999999999999994E-2</v>
      </c>
    </row>
    <row r="235" spans="3:17">
      <c r="C235" s="1857"/>
      <c r="D235" s="1857"/>
      <c r="E235" s="1857" t="s">
        <v>2629</v>
      </c>
      <c r="F235" s="1857" t="s">
        <v>2628</v>
      </c>
      <c r="G235" s="1857"/>
      <c r="H235" s="1857"/>
      <c r="I235" s="1856"/>
      <c r="J235" s="1856">
        <v>0</v>
      </c>
      <c r="K235" s="1856">
        <v>0</v>
      </c>
      <c r="L235" s="1856"/>
      <c r="M235" s="1856">
        <v>0</v>
      </c>
      <c r="N235" s="1856">
        <v>0</v>
      </c>
      <c r="O235" s="1856"/>
      <c r="P235" s="1856">
        <v>0</v>
      </c>
      <c r="Q235" s="1856">
        <v>0</v>
      </c>
    </row>
    <row r="236" spans="3:17">
      <c r="C236" s="1789"/>
      <c r="D236" s="1789"/>
      <c r="E236" s="1789" t="s">
        <v>2630</v>
      </c>
      <c r="F236" s="1789" t="s">
        <v>2628</v>
      </c>
      <c r="G236" s="1789"/>
      <c r="H236" s="1789"/>
      <c r="I236" s="1856">
        <v>2.4E-2</v>
      </c>
      <c r="J236" s="1856">
        <v>0</v>
      </c>
      <c r="K236" s="1856">
        <v>2.4E-2</v>
      </c>
      <c r="L236" s="1856">
        <v>0.11799999999999999</v>
      </c>
      <c r="M236" s="1856">
        <v>0</v>
      </c>
      <c r="N236" s="1856">
        <v>0.11799999999999999</v>
      </c>
      <c r="O236" s="1856">
        <v>5.2999999999999999E-2</v>
      </c>
      <c r="P236" s="1856">
        <v>0</v>
      </c>
      <c r="Q236" s="1856">
        <v>5.2999999999999999E-2</v>
      </c>
    </row>
    <row r="237" spans="3:17">
      <c r="C237" s="1789"/>
      <c r="D237" s="1789"/>
      <c r="E237" s="1789" t="s">
        <v>2267</v>
      </c>
      <c r="F237" s="1789" t="s">
        <v>2628</v>
      </c>
      <c r="G237" s="1789"/>
      <c r="H237" s="1789"/>
      <c r="I237" s="1856">
        <v>2E-3</v>
      </c>
      <c r="J237" s="1856">
        <v>0</v>
      </c>
      <c r="K237" s="1856">
        <v>1.8600000000000001E-3</v>
      </c>
      <c r="L237" s="1856">
        <v>1.4999999999999999E-2</v>
      </c>
      <c r="M237" s="1856">
        <v>0</v>
      </c>
      <c r="N237" s="1856">
        <v>1.4800000000000001E-2</v>
      </c>
      <c r="O237" s="1856">
        <v>5.0000000000000001E-3</v>
      </c>
      <c r="P237" s="1856">
        <v>0</v>
      </c>
      <c r="Q237" s="1856">
        <v>4.8300000000000001E-3</v>
      </c>
    </row>
    <row r="238" spans="3:17">
      <c r="C238" s="1789"/>
      <c r="D238" s="1789" t="s">
        <v>2128</v>
      </c>
      <c r="E238" s="1789" t="s">
        <v>2624</v>
      </c>
      <c r="F238" s="1789" t="s">
        <v>2625</v>
      </c>
      <c r="G238" s="1789"/>
      <c r="H238" s="1789"/>
      <c r="I238" s="1856">
        <v>0.34499999999999997</v>
      </c>
      <c r="J238" s="1856">
        <v>0</v>
      </c>
      <c r="K238" s="1856">
        <v>0</v>
      </c>
      <c r="L238" s="1856">
        <v>0.88800000000000001</v>
      </c>
      <c r="M238" s="1856">
        <v>0</v>
      </c>
      <c r="N238" s="1856">
        <v>0</v>
      </c>
      <c r="O238" s="1856">
        <v>0.86199999999999999</v>
      </c>
      <c r="P238" s="1856">
        <v>0</v>
      </c>
      <c r="Q238" s="1856">
        <v>0</v>
      </c>
    </row>
    <row r="239" spans="3:17">
      <c r="C239" s="1789"/>
      <c r="D239" s="1789"/>
      <c r="E239" s="1789" t="s">
        <v>2626</v>
      </c>
      <c r="F239" s="1789" t="s">
        <v>2625</v>
      </c>
      <c r="G239" s="1789"/>
      <c r="H239" s="1789"/>
      <c r="I239" s="1856">
        <v>0</v>
      </c>
      <c r="J239" s="1856">
        <v>0</v>
      </c>
      <c r="K239" s="1856">
        <v>0.34499999999999997</v>
      </c>
      <c r="L239" s="1856">
        <v>0</v>
      </c>
      <c r="M239" s="1856">
        <v>0</v>
      </c>
      <c r="N239" s="1856">
        <v>0.88800000000000001</v>
      </c>
      <c r="O239" s="1856">
        <v>0</v>
      </c>
      <c r="P239" s="1856">
        <v>0</v>
      </c>
      <c r="Q239" s="1856">
        <v>0.86199999999999999</v>
      </c>
    </row>
    <row r="240" spans="3:17">
      <c r="C240" s="1789"/>
      <c r="D240" s="1789"/>
      <c r="E240" s="1789" t="s">
        <v>2627</v>
      </c>
      <c r="F240" s="1789" t="s">
        <v>2628</v>
      </c>
      <c r="G240" s="1789"/>
      <c r="H240" s="1789"/>
      <c r="I240" s="1856">
        <v>0.13900000000000001</v>
      </c>
      <c r="J240" s="1856">
        <v>0</v>
      </c>
      <c r="K240" s="1856">
        <v>0.13900000000000001</v>
      </c>
      <c r="L240" s="1856">
        <v>1.7000000000000001E-2</v>
      </c>
      <c r="M240" s="1856">
        <v>0</v>
      </c>
      <c r="N240" s="1856">
        <v>1.7000000000000001E-2</v>
      </c>
      <c r="O240" s="1856">
        <v>5.8999999999999997E-2</v>
      </c>
      <c r="P240" s="1856">
        <v>0</v>
      </c>
      <c r="Q240" s="1856">
        <v>5.8999999999999997E-2</v>
      </c>
    </row>
    <row r="241" spans="3:17">
      <c r="C241" s="1857"/>
      <c r="D241" s="1857"/>
      <c r="E241" s="1857" t="s">
        <v>2629</v>
      </c>
      <c r="F241" s="1857" t="s">
        <v>2628</v>
      </c>
      <c r="G241" s="1857"/>
      <c r="H241" s="1857"/>
      <c r="I241" s="1856"/>
      <c r="J241" s="1856">
        <v>0</v>
      </c>
      <c r="K241" s="1856">
        <v>0</v>
      </c>
      <c r="L241" s="1856"/>
      <c r="M241" s="1856">
        <v>0</v>
      </c>
      <c r="N241" s="1856">
        <v>0</v>
      </c>
      <c r="O241" s="1856"/>
      <c r="P241" s="1856">
        <v>0</v>
      </c>
      <c r="Q241" s="1856">
        <v>0</v>
      </c>
    </row>
    <row r="242" spans="3:17">
      <c r="C242" s="1789"/>
      <c r="D242" s="1789"/>
      <c r="E242" s="1789" t="s">
        <v>2630</v>
      </c>
      <c r="F242" s="1789" t="s">
        <v>2628</v>
      </c>
      <c r="G242" s="1789"/>
      <c r="H242" s="1789"/>
      <c r="I242" s="1856">
        <v>0.04</v>
      </c>
      <c r="J242" s="1856">
        <v>0</v>
      </c>
      <c r="K242" s="1856">
        <v>0.04</v>
      </c>
      <c r="L242" s="1856">
        <v>0.11799999999999999</v>
      </c>
      <c r="M242" s="1856">
        <v>0</v>
      </c>
      <c r="N242" s="1856">
        <v>0.11799999999999999</v>
      </c>
      <c r="O242" s="1856">
        <v>0.1</v>
      </c>
      <c r="P242" s="1856">
        <v>0</v>
      </c>
      <c r="Q242" s="1856">
        <v>0.1</v>
      </c>
    </row>
    <row r="243" spans="3:17">
      <c r="C243" s="1789"/>
      <c r="D243" s="1789"/>
      <c r="E243" s="1789" t="s">
        <v>2267</v>
      </c>
      <c r="F243" s="1789" t="s">
        <v>2628</v>
      </c>
      <c r="G243" s="1789"/>
      <c r="H243" s="1789"/>
      <c r="I243" s="1856">
        <v>4.0000000000000001E-3</v>
      </c>
      <c r="J243" s="1856">
        <v>0</v>
      </c>
      <c r="K243" s="1856">
        <v>4.3499999999999997E-3</v>
      </c>
      <c r="L243" s="1856">
        <v>1.4999999999999999E-2</v>
      </c>
      <c r="M243" s="1856">
        <v>0</v>
      </c>
      <c r="N243" s="1856">
        <v>1.4800000000000001E-2</v>
      </c>
      <c r="O243" s="1856">
        <v>1.2E-2</v>
      </c>
      <c r="P243" s="1856">
        <v>0</v>
      </c>
      <c r="Q243" s="1856">
        <v>1.227E-2</v>
      </c>
    </row>
    <row r="244" spans="3:17">
      <c r="C244" s="1789"/>
      <c r="D244" s="1789" t="s">
        <v>528</v>
      </c>
      <c r="E244" s="1789" t="s">
        <v>2624</v>
      </c>
      <c r="F244" s="1789" t="s">
        <v>2625</v>
      </c>
      <c r="G244" s="1789"/>
      <c r="H244" s="1789"/>
      <c r="I244" s="1856">
        <v>0.35399999999999998</v>
      </c>
      <c r="J244" s="1856">
        <v>0</v>
      </c>
      <c r="K244" s="1856">
        <v>0</v>
      </c>
      <c r="L244" s="1856">
        <v>0.77</v>
      </c>
      <c r="M244" s="1856">
        <v>0</v>
      </c>
      <c r="N244" s="1856">
        <v>0</v>
      </c>
      <c r="O244" s="1856">
        <v>0.66900000000000004</v>
      </c>
      <c r="P244" s="1856">
        <v>0</v>
      </c>
      <c r="Q244" s="1856">
        <v>0</v>
      </c>
    </row>
    <row r="245" spans="3:17">
      <c r="C245" s="1789"/>
      <c r="D245" s="1789"/>
      <c r="E245" s="1789" t="s">
        <v>2626</v>
      </c>
      <c r="F245" s="1789" t="s">
        <v>2625</v>
      </c>
      <c r="G245" s="1789"/>
      <c r="H245" s="1789"/>
      <c r="I245" s="1856">
        <v>0</v>
      </c>
      <c r="J245" s="1856">
        <v>0</v>
      </c>
      <c r="K245" s="1856">
        <v>0.35399999999999998</v>
      </c>
      <c r="L245" s="1856">
        <v>0</v>
      </c>
      <c r="M245" s="1856">
        <v>0</v>
      </c>
      <c r="N245" s="1856">
        <v>0.77</v>
      </c>
      <c r="O245" s="1856">
        <v>0</v>
      </c>
      <c r="P245" s="1856">
        <v>0</v>
      </c>
      <c r="Q245" s="1856">
        <v>0.66900000000000004</v>
      </c>
    </row>
    <row r="246" spans="3:17">
      <c r="C246" s="1789"/>
      <c r="D246" s="1789"/>
      <c r="E246" s="1789" t="s">
        <v>2627</v>
      </c>
      <c r="F246" s="1789" t="s">
        <v>2628</v>
      </c>
      <c r="G246" s="1789"/>
      <c r="H246" s="1789"/>
      <c r="I246" s="1856">
        <v>8.7999999999999995E-2</v>
      </c>
      <c r="J246" s="1856">
        <v>0</v>
      </c>
      <c r="K246" s="1856">
        <v>8.7999999999999995E-2</v>
      </c>
      <c r="L246" s="1856">
        <v>0.01</v>
      </c>
      <c r="M246" s="1856">
        <v>0</v>
      </c>
      <c r="N246" s="1856">
        <v>0.01</v>
      </c>
      <c r="O246" s="1856">
        <v>7.6999999999999999E-2</v>
      </c>
      <c r="P246" s="1856">
        <v>0</v>
      </c>
      <c r="Q246" s="1856">
        <v>7.6999999999999999E-2</v>
      </c>
    </row>
    <row r="247" spans="3:17">
      <c r="C247" s="1857"/>
      <c r="D247" s="1857"/>
      <c r="E247" s="1857" t="s">
        <v>2629</v>
      </c>
      <c r="F247" s="1857" t="s">
        <v>2628</v>
      </c>
      <c r="G247" s="1857"/>
      <c r="H247" s="1857"/>
      <c r="I247" s="1856"/>
      <c r="J247" s="1856">
        <v>0</v>
      </c>
      <c r="K247" s="1856">
        <v>0</v>
      </c>
      <c r="L247" s="1856"/>
      <c r="M247" s="1856">
        <v>0</v>
      </c>
      <c r="N247" s="1856">
        <v>0</v>
      </c>
      <c r="O247" s="1856"/>
      <c r="P247" s="1856">
        <v>0</v>
      </c>
      <c r="Q247" s="1856">
        <v>0</v>
      </c>
    </row>
    <row r="248" spans="3:17">
      <c r="C248" s="1789"/>
      <c r="D248" s="1789"/>
      <c r="E248" s="1789" t="s">
        <v>2630</v>
      </c>
      <c r="F248" s="1789" t="s">
        <v>2628</v>
      </c>
      <c r="G248" s="1789"/>
      <c r="H248" s="1789"/>
      <c r="I248" s="1856">
        <v>3.1E-2</v>
      </c>
      <c r="J248" s="1856">
        <v>0</v>
      </c>
      <c r="K248" s="1856">
        <v>3.1E-2</v>
      </c>
      <c r="L248" s="1856">
        <v>0.108</v>
      </c>
      <c r="M248" s="1856">
        <v>0</v>
      </c>
      <c r="N248" s="1856">
        <v>0.108</v>
      </c>
      <c r="O248" s="1856">
        <v>0.08</v>
      </c>
      <c r="P248" s="1856">
        <v>0</v>
      </c>
      <c r="Q248" s="1856">
        <v>0.08</v>
      </c>
    </row>
    <row r="249" spans="3:17">
      <c r="C249" s="1789"/>
      <c r="D249" s="1789"/>
      <c r="E249" s="1789" t="s">
        <v>2267</v>
      </c>
      <c r="F249" s="1789" t="s">
        <v>2628</v>
      </c>
      <c r="G249" s="1789"/>
      <c r="H249" s="1789"/>
      <c r="I249" s="1856">
        <v>2E-3</v>
      </c>
      <c r="J249" s="1856">
        <v>0</v>
      </c>
      <c r="K249" s="1856">
        <v>2.0999999999999999E-3</v>
      </c>
      <c r="L249" s="1856">
        <v>8.9999999999999993E-3</v>
      </c>
      <c r="M249" s="1856">
        <v>0</v>
      </c>
      <c r="N249" s="1856">
        <v>9.1500000000000001E-3</v>
      </c>
      <c r="O249" s="1856">
        <v>7.0000000000000001E-3</v>
      </c>
      <c r="P249" s="1856">
        <v>0</v>
      </c>
      <c r="Q249" s="1856">
        <v>6.6899999999999998E-3</v>
      </c>
    </row>
    <row r="250" spans="3:17">
      <c r="C250" s="1789"/>
      <c r="D250" s="1789" t="s">
        <v>2130</v>
      </c>
      <c r="E250" s="1789" t="s">
        <v>2624</v>
      </c>
      <c r="F250" s="1789" t="s">
        <v>2625</v>
      </c>
      <c r="G250" s="1789"/>
      <c r="H250" s="1789"/>
      <c r="I250" s="1856">
        <v>0.317</v>
      </c>
      <c r="J250" s="1856">
        <v>0</v>
      </c>
      <c r="K250" s="1856">
        <v>0</v>
      </c>
      <c r="L250" s="1856">
        <v>0.76600000000000001</v>
      </c>
      <c r="M250" s="1856">
        <v>0</v>
      </c>
      <c r="N250" s="1856">
        <v>0</v>
      </c>
      <c r="O250" s="1856">
        <v>0.81200000000000006</v>
      </c>
      <c r="P250" s="1856">
        <v>0</v>
      </c>
      <c r="Q250" s="1856">
        <v>0</v>
      </c>
    </row>
    <row r="251" spans="3:17">
      <c r="C251" s="1789"/>
      <c r="D251" s="1789"/>
      <c r="E251" s="1789" t="s">
        <v>2626</v>
      </c>
      <c r="F251" s="1789" t="s">
        <v>2625</v>
      </c>
      <c r="G251" s="1789"/>
      <c r="H251" s="1789"/>
      <c r="I251" s="1856">
        <v>0</v>
      </c>
      <c r="J251" s="1856">
        <v>0</v>
      </c>
      <c r="K251" s="1856">
        <v>0.317</v>
      </c>
      <c r="L251" s="1856">
        <v>0</v>
      </c>
      <c r="M251" s="1856">
        <v>0</v>
      </c>
      <c r="N251" s="1856">
        <v>0.76600000000000001</v>
      </c>
      <c r="O251" s="1856">
        <v>0</v>
      </c>
      <c r="P251" s="1856">
        <v>0</v>
      </c>
      <c r="Q251" s="1856">
        <v>0.81200000000000006</v>
      </c>
    </row>
    <row r="252" spans="3:17">
      <c r="C252" s="1789"/>
      <c r="D252" s="1789"/>
      <c r="E252" s="1789" t="s">
        <v>2627</v>
      </c>
      <c r="F252" s="1789" t="s">
        <v>2628</v>
      </c>
      <c r="G252" s="1789"/>
      <c r="H252" s="1789"/>
      <c r="I252" s="1856">
        <v>7.3999999999999996E-2</v>
      </c>
      <c r="J252" s="1856">
        <v>0</v>
      </c>
      <c r="K252" s="1856">
        <v>7.3999999999999996E-2</v>
      </c>
      <c r="L252" s="1856">
        <v>1.2E-2</v>
      </c>
      <c r="M252" s="1856">
        <v>0</v>
      </c>
      <c r="N252" s="1856">
        <v>1.2E-2</v>
      </c>
      <c r="O252" s="1856">
        <v>0.66</v>
      </c>
      <c r="P252" s="1856">
        <v>0</v>
      </c>
      <c r="Q252" s="1856">
        <v>6.6000000000000003E-2</v>
      </c>
    </row>
    <row r="253" spans="3:17">
      <c r="C253" s="1857"/>
      <c r="D253" s="1857"/>
      <c r="E253" s="1857" t="s">
        <v>2629</v>
      </c>
      <c r="F253" s="1857" t="s">
        <v>2628</v>
      </c>
      <c r="G253" s="1857"/>
      <c r="H253" s="1857"/>
      <c r="I253" s="1856"/>
      <c r="J253" s="1856">
        <v>0</v>
      </c>
      <c r="K253" s="1856">
        <v>0</v>
      </c>
      <c r="L253" s="1856"/>
      <c r="M253" s="1856">
        <v>0</v>
      </c>
      <c r="N253" s="1856">
        <v>0</v>
      </c>
      <c r="O253" s="1856"/>
      <c r="P253" s="1856">
        <v>0</v>
      </c>
      <c r="Q253" s="1856">
        <v>0</v>
      </c>
    </row>
    <row r="254" spans="3:17">
      <c r="C254" s="1789"/>
      <c r="D254" s="1789"/>
      <c r="E254" s="1789" t="s">
        <v>2630</v>
      </c>
      <c r="F254" s="1789" t="s">
        <v>2628</v>
      </c>
      <c r="G254" s="1789"/>
      <c r="H254" s="1789"/>
      <c r="I254" s="1856">
        <v>3.4000000000000002E-2</v>
      </c>
      <c r="J254" s="1856">
        <v>0</v>
      </c>
      <c r="K254" s="1856">
        <v>3.4000000000000002E-2</v>
      </c>
      <c r="L254" s="1856">
        <v>9.6000000000000002E-2</v>
      </c>
      <c r="M254" s="1856">
        <v>0</v>
      </c>
      <c r="N254" s="1856">
        <v>9.6000000000000002E-2</v>
      </c>
      <c r="O254" s="1856">
        <v>8.8999999999999996E-2</v>
      </c>
      <c r="P254" s="1856">
        <v>0</v>
      </c>
      <c r="Q254" s="1856">
        <v>8.8999999999999996E-2</v>
      </c>
    </row>
    <row r="255" spans="3:17">
      <c r="C255" s="1789"/>
      <c r="D255" s="1789"/>
      <c r="E255" s="1789" t="s">
        <v>2267</v>
      </c>
      <c r="F255" s="1789" t="s">
        <v>2628</v>
      </c>
      <c r="G255" s="1789"/>
      <c r="H255" s="1789"/>
      <c r="I255" s="1856">
        <v>2E-3</v>
      </c>
      <c r="J255" s="1856">
        <v>0</v>
      </c>
      <c r="K255" s="1856">
        <v>2E-3</v>
      </c>
      <c r="L255" s="1856">
        <v>1.2999999999999999E-2</v>
      </c>
      <c r="M255" s="1856">
        <v>0</v>
      </c>
      <c r="N255" s="1856">
        <v>1.2999999999999999E-2</v>
      </c>
      <c r="O255" s="1856">
        <v>0.01</v>
      </c>
      <c r="P255" s="1856">
        <v>0</v>
      </c>
      <c r="Q255" s="1856">
        <v>9.6900000000000007E-3</v>
      </c>
    </row>
    <row r="256" spans="3:17">
      <c r="C256" s="1789"/>
      <c r="D256" s="1789" t="s">
        <v>765</v>
      </c>
      <c r="E256" s="1789" t="s">
        <v>2624</v>
      </c>
      <c r="F256" s="1789" t="s">
        <v>2625</v>
      </c>
      <c r="G256" s="1789"/>
      <c r="H256" s="1789"/>
      <c r="I256" s="1856">
        <v>0.436</v>
      </c>
      <c r="J256" s="1856">
        <v>0</v>
      </c>
      <c r="K256" s="1856">
        <v>0</v>
      </c>
      <c r="L256" s="1856">
        <v>0.999</v>
      </c>
      <c r="M256" s="1856">
        <v>0</v>
      </c>
      <c r="N256" s="1856">
        <v>0</v>
      </c>
      <c r="O256" s="1856">
        <v>0.81599999999999995</v>
      </c>
      <c r="P256" s="1856">
        <v>0</v>
      </c>
      <c r="Q256" s="1856">
        <v>0</v>
      </c>
    </row>
    <row r="257" spans="3:17">
      <c r="C257" s="1789"/>
      <c r="D257" s="1789"/>
      <c r="E257" s="1789" t="s">
        <v>2626</v>
      </c>
      <c r="F257" s="1789" t="s">
        <v>2625</v>
      </c>
      <c r="G257" s="1789"/>
      <c r="H257" s="1789"/>
      <c r="I257" s="1856">
        <v>0</v>
      </c>
      <c r="J257" s="1856">
        <v>0</v>
      </c>
      <c r="K257" s="1856">
        <v>0.436</v>
      </c>
      <c r="L257" s="1856">
        <v>0</v>
      </c>
      <c r="M257" s="1856">
        <v>0</v>
      </c>
      <c r="N257" s="1856">
        <v>0.999</v>
      </c>
      <c r="O257" s="1856">
        <v>0</v>
      </c>
      <c r="P257" s="1856">
        <v>0</v>
      </c>
      <c r="Q257" s="1856">
        <v>0.81599999999999995</v>
      </c>
    </row>
    <row r="258" spans="3:17">
      <c r="C258" s="1789"/>
      <c r="D258" s="1789"/>
      <c r="E258" s="1789" t="s">
        <v>2627</v>
      </c>
      <c r="F258" s="1789" t="s">
        <v>2628</v>
      </c>
      <c r="G258" s="1789"/>
      <c r="H258" s="1789"/>
      <c r="I258" s="1856">
        <v>0.10299999999999999</v>
      </c>
      <c r="J258" s="1856">
        <v>0</v>
      </c>
      <c r="K258" s="1856">
        <v>0.10299999999999999</v>
      </c>
      <c r="L258" s="1856">
        <v>4.0000000000000001E-3</v>
      </c>
      <c r="M258" s="1856">
        <v>0</v>
      </c>
      <c r="N258" s="1856">
        <v>4.0000000000000001E-3</v>
      </c>
      <c r="O258" s="1856">
        <v>8.4000000000000005E-2</v>
      </c>
      <c r="P258" s="1856">
        <v>0</v>
      </c>
      <c r="Q258" s="1856">
        <v>8.4000000000000005E-2</v>
      </c>
    </row>
    <row r="259" spans="3:17">
      <c r="C259" s="1857"/>
      <c r="D259" s="1857"/>
      <c r="E259" s="1857" t="s">
        <v>2629</v>
      </c>
      <c r="F259" s="1857" t="s">
        <v>2628</v>
      </c>
      <c r="G259" s="1857"/>
      <c r="H259" s="1857"/>
      <c r="I259" s="1856"/>
      <c r="J259" s="1856">
        <v>0</v>
      </c>
      <c r="K259" s="1856">
        <v>0</v>
      </c>
      <c r="L259" s="1856"/>
      <c r="M259" s="1856">
        <v>0</v>
      </c>
      <c r="N259" s="1856">
        <v>0</v>
      </c>
      <c r="O259" s="1856"/>
      <c r="P259" s="1856">
        <v>0</v>
      </c>
      <c r="Q259" s="1856">
        <v>0</v>
      </c>
    </row>
    <row r="260" spans="3:17">
      <c r="C260" s="1789"/>
      <c r="D260" s="1789"/>
      <c r="E260" s="1789" t="s">
        <v>2630</v>
      </c>
      <c r="F260" s="1789" t="s">
        <v>2628</v>
      </c>
      <c r="G260" s="1789"/>
      <c r="H260" s="1789"/>
      <c r="I260" s="1856">
        <v>3.4000000000000002E-2</v>
      </c>
      <c r="J260" s="1856">
        <v>0</v>
      </c>
      <c r="K260" s="1856">
        <v>3.4000000000000002E-2</v>
      </c>
      <c r="L260" s="1856">
        <v>0.111</v>
      </c>
      <c r="M260" s="1856">
        <v>0</v>
      </c>
      <c r="N260" s="1856">
        <v>0.111</v>
      </c>
      <c r="O260" s="1856">
        <v>9.2999999999999999E-2</v>
      </c>
      <c r="P260" s="1856">
        <v>0</v>
      </c>
      <c r="Q260" s="1856">
        <v>9.2999999999999999E-2</v>
      </c>
    </row>
    <row r="261" spans="3:17">
      <c r="C261" s="1789"/>
      <c r="D261" s="1789"/>
      <c r="E261" s="1789" t="s">
        <v>2267</v>
      </c>
      <c r="F261" s="1789" t="s">
        <v>2628</v>
      </c>
      <c r="G261" s="1789"/>
      <c r="H261" s="1789"/>
      <c r="I261" s="1856">
        <v>5.0000000000000001E-3</v>
      </c>
      <c r="J261" s="1856">
        <v>0</v>
      </c>
      <c r="K261" s="1856">
        <v>4.7099999999999998E-3</v>
      </c>
      <c r="L261" s="1856">
        <v>1.4E-2</v>
      </c>
      <c r="M261" s="1856">
        <v>0</v>
      </c>
      <c r="N261" s="1856">
        <v>1.434E-2</v>
      </c>
      <c r="O261" s="1856">
        <v>1.2E-2</v>
      </c>
      <c r="P261" s="1856">
        <v>0</v>
      </c>
      <c r="Q261" s="1856">
        <v>1.248E-2</v>
      </c>
    </row>
    <row r="262" spans="3:17">
      <c r="C262" s="1789"/>
      <c r="D262" s="1789" t="s">
        <v>2269</v>
      </c>
      <c r="E262" s="1789" t="s">
        <v>2624</v>
      </c>
      <c r="F262" s="1789" t="s">
        <v>2625</v>
      </c>
      <c r="G262" s="1789"/>
      <c r="H262" s="1789"/>
      <c r="I262" s="1856">
        <v>0.32300000000000001</v>
      </c>
      <c r="J262" s="1856">
        <v>0</v>
      </c>
      <c r="K262" s="1856">
        <v>0</v>
      </c>
      <c r="L262" s="1856">
        <v>0.73399999999999999</v>
      </c>
      <c r="M262" s="1856">
        <v>0</v>
      </c>
      <c r="N262" s="1856">
        <v>0</v>
      </c>
      <c r="O262" s="1856">
        <v>0.75</v>
      </c>
      <c r="P262" s="1856">
        <v>0</v>
      </c>
      <c r="Q262" s="1856">
        <v>0</v>
      </c>
    </row>
    <row r="263" spans="3:17">
      <c r="C263" s="1789"/>
      <c r="D263" s="1789"/>
      <c r="E263" s="1789" t="s">
        <v>2626</v>
      </c>
      <c r="F263" s="1789" t="s">
        <v>2625</v>
      </c>
      <c r="G263" s="1789"/>
      <c r="H263" s="1789"/>
      <c r="I263" s="1856">
        <v>0</v>
      </c>
      <c r="J263" s="1856">
        <v>0</v>
      </c>
      <c r="K263" s="1856">
        <v>0.32300000000000001</v>
      </c>
      <c r="L263" s="1856">
        <v>0</v>
      </c>
      <c r="M263" s="1856">
        <v>0</v>
      </c>
      <c r="N263" s="1856">
        <v>0.73399999999999999</v>
      </c>
      <c r="O263" s="1856">
        <v>0</v>
      </c>
      <c r="P263" s="1856">
        <v>0</v>
      </c>
      <c r="Q263" s="1856">
        <v>0.75</v>
      </c>
    </row>
    <row r="264" spans="3:17">
      <c r="C264" s="1789"/>
      <c r="D264" s="1789"/>
      <c r="E264" s="1789" t="s">
        <v>2627</v>
      </c>
      <c r="F264" s="1789" t="s">
        <v>2628</v>
      </c>
      <c r="G264" s="1789"/>
      <c r="H264" s="1789"/>
      <c r="I264" s="1856">
        <v>4.8000000000000001E-2</v>
      </c>
      <c r="J264" s="1856">
        <v>0</v>
      </c>
      <c r="K264" s="1856">
        <v>4.8000000000000001E-2</v>
      </c>
      <c r="L264" s="1856">
        <v>1.2E-2</v>
      </c>
      <c r="M264" s="1856">
        <v>0</v>
      </c>
      <c r="N264" s="1856">
        <v>1.2E-2</v>
      </c>
      <c r="O264" s="1856">
        <v>5.1999999999999998E-2</v>
      </c>
      <c r="P264" s="1856">
        <v>0</v>
      </c>
      <c r="Q264" s="1856">
        <v>5.1999999999999998E-2</v>
      </c>
    </row>
    <row r="265" spans="3:17">
      <c r="C265" s="1857"/>
      <c r="D265" s="1857"/>
      <c r="E265" s="1857" t="s">
        <v>2629</v>
      </c>
      <c r="F265" s="1857" t="s">
        <v>2628</v>
      </c>
      <c r="G265" s="1857"/>
      <c r="H265" s="1857"/>
      <c r="I265" s="1856"/>
      <c r="J265" s="1856">
        <v>0</v>
      </c>
      <c r="K265" s="1856">
        <v>0</v>
      </c>
      <c r="L265" s="1856"/>
      <c r="M265" s="1856">
        <v>0</v>
      </c>
      <c r="N265" s="1856">
        <v>0</v>
      </c>
      <c r="O265" s="1856"/>
      <c r="P265" s="1856">
        <v>0</v>
      </c>
      <c r="Q265" s="1856">
        <v>0</v>
      </c>
    </row>
    <row r="266" spans="3:17">
      <c r="C266" s="1789"/>
      <c r="D266" s="1789"/>
      <c r="E266" s="1789" t="s">
        <v>2630</v>
      </c>
      <c r="F266" s="1789" t="s">
        <v>2628</v>
      </c>
      <c r="G266" s="1789"/>
      <c r="H266" s="1789"/>
      <c r="I266" s="1856">
        <v>1.9E-2</v>
      </c>
      <c r="J266" s="1856">
        <v>0</v>
      </c>
      <c r="K266" s="1856">
        <v>1.9E-2</v>
      </c>
      <c r="L266" s="1856">
        <v>0.1</v>
      </c>
      <c r="M266" s="1856">
        <v>0</v>
      </c>
      <c r="N266" s="1856">
        <v>0.1</v>
      </c>
      <c r="O266" s="1856">
        <v>0.13600000000000001</v>
      </c>
      <c r="P266" s="1856">
        <v>0</v>
      </c>
      <c r="Q266" s="1856">
        <v>0.13600000000000001</v>
      </c>
    </row>
    <row r="267" spans="3:17">
      <c r="C267" s="1789"/>
      <c r="D267" s="1789"/>
      <c r="E267" s="1789" t="s">
        <v>2267</v>
      </c>
      <c r="F267" s="1789" t="s">
        <v>2628</v>
      </c>
      <c r="G267" s="1789"/>
      <c r="H267" s="1789"/>
      <c r="I267" s="1856">
        <v>2E-3</v>
      </c>
      <c r="J267" s="1856">
        <v>0</v>
      </c>
      <c r="K267" s="1856">
        <v>1.98E-3</v>
      </c>
      <c r="L267" s="1856">
        <v>1.2999999999999999E-2</v>
      </c>
      <c r="M267" s="1856">
        <v>0</v>
      </c>
      <c r="N267" s="1856">
        <v>1.329E-2</v>
      </c>
      <c r="O267" s="1856">
        <v>0.125</v>
      </c>
      <c r="P267" s="1856">
        <v>0</v>
      </c>
      <c r="Q267" s="1856">
        <v>0.12509999999999999</v>
      </c>
    </row>
    <row r="268" spans="3:17">
      <c r="C268" s="1794" t="s">
        <v>2865</v>
      </c>
      <c r="D268" s="1794"/>
      <c r="E268" s="1789"/>
      <c r="F268" s="1789"/>
      <c r="G268" s="1789"/>
      <c r="H268" s="1789"/>
      <c r="I268" s="1789"/>
      <c r="J268" s="1854"/>
      <c r="K268" s="1854"/>
      <c r="L268" s="1854"/>
      <c r="M268" s="1854"/>
      <c r="N268" s="1854"/>
      <c r="O268" s="1854"/>
      <c r="P268" s="1854"/>
      <c r="Q268" s="1854"/>
    </row>
    <row r="269" spans="3:17">
      <c r="C269" s="1789"/>
      <c r="D269" s="1794" t="s">
        <v>2866</v>
      </c>
      <c r="E269" s="1789"/>
      <c r="F269" s="1789"/>
      <c r="G269" s="1789"/>
      <c r="H269" s="1789"/>
      <c r="I269" s="1849">
        <v>25</v>
      </c>
      <c r="J269" s="1854" t="s">
        <v>2867</v>
      </c>
      <c r="K269" s="1854"/>
      <c r="L269" s="1854"/>
      <c r="M269" s="1854"/>
      <c r="N269" s="1854"/>
      <c r="O269" s="1854"/>
      <c r="P269" s="1854"/>
      <c r="Q269" s="1854"/>
    </row>
    <row r="270" spans="3:17" hidden="1">
      <c r="C270" s="1789"/>
      <c r="D270" s="1804" t="s">
        <v>2868</v>
      </c>
      <c r="E270" s="1789"/>
      <c r="F270" s="1789"/>
      <c r="G270" s="1789"/>
      <c r="H270" s="1789"/>
      <c r="I270" s="1849"/>
      <c r="J270" s="1854"/>
      <c r="K270" s="1854"/>
      <c r="L270" s="1854"/>
      <c r="M270" s="1854"/>
      <c r="N270" s="1854"/>
      <c r="O270" s="1854"/>
      <c r="P270" s="1854"/>
      <c r="Q270" s="1854"/>
    </row>
    <row r="271" spans="3:17">
      <c r="C271" s="1789"/>
      <c r="D271" s="1794" t="s">
        <v>2869</v>
      </c>
      <c r="E271" s="1789"/>
      <c r="F271" s="1794"/>
      <c r="G271" s="1789"/>
      <c r="H271" s="1789"/>
      <c r="I271" s="1849">
        <v>18</v>
      </c>
      <c r="J271" s="1854" t="s">
        <v>2867</v>
      </c>
      <c r="K271" s="1854"/>
      <c r="L271" s="1854"/>
      <c r="M271" s="1854"/>
      <c r="N271" s="1854"/>
      <c r="O271" s="1854"/>
      <c r="P271" s="1854"/>
      <c r="Q271" s="1854"/>
    </row>
    <row r="272" spans="3:17">
      <c r="C272" s="1789"/>
      <c r="D272" s="1794" t="s">
        <v>2870</v>
      </c>
      <c r="E272" s="1789"/>
      <c r="F272" s="1794"/>
      <c r="G272" s="1789"/>
      <c r="H272" s="1789"/>
      <c r="I272" s="1849">
        <v>15</v>
      </c>
      <c r="J272" s="1854" t="s">
        <v>2867</v>
      </c>
      <c r="K272" s="1854"/>
      <c r="L272" s="1854"/>
      <c r="M272" s="1854"/>
      <c r="N272" s="1854"/>
      <c r="O272" s="1854"/>
      <c r="P272" s="1854"/>
      <c r="Q272" s="1854"/>
    </row>
    <row r="273" spans="3:17">
      <c r="C273" s="1789"/>
      <c r="D273" s="1794"/>
      <c r="E273" s="1789"/>
      <c r="F273" s="1789"/>
      <c r="G273" s="1789"/>
      <c r="H273" s="1789"/>
      <c r="I273" s="1789"/>
      <c r="J273" s="1789"/>
      <c r="K273" s="1854"/>
      <c r="L273" s="1854"/>
      <c r="M273" s="1854"/>
      <c r="N273" s="1854"/>
      <c r="O273" s="1854"/>
      <c r="P273" s="1854"/>
      <c r="Q273" s="1854"/>
    </row>
    <row r="274" spans="3:17">
      <c r="C274" s="1789" t="s">
        <v>2871</v>
      </c>
      <c r="D274" s="1789"/>
      <c r="E274" s="1789"/>
      <c r="F274" s="1789"/>
      <c r="G274" s="1789"/>
      <c r="H274" s="1789"/>
      <c r="I274" s="1789"/>
      <c r="J274" s="1789"/>
      <c r="K274" s="1789"/>
      <c r="L274" s="1789"/>
      <c r="M274" s="1789"/>
      <c r="N274" s="1789"/>
      <c r="O274" s="1789"/>
      <c r="P274" s="1789"/>
      <c r="Q274" s="1789"/>
    </row>
    <row r="275" spans="3:17">
      <c r="C275" s="1789"/>
      <c r="D275" s="1789" t="s">
        <v>2866</v>
      </c>
      <c r="E275" s="1789"/>
      <c r="F275" s="1789"/>
      <c r="G275" s="1789"/>
      <c r="H275" s="1789"/>
      <c r="I275" s="1848">
        <v>0.01</v>
      </c>
      <c r="J275" s="1789" t="s">
        <v>2872</v>
      </c>
      <c r="K275" s="1789"/>
      <c r="L275" s="1789"/>
      <c r="M275" s="1789"/>
      <c r="N275" s="1789"/>
      <c r="O275" s="1789"/>
      <c r="P275" s="1789"/>
      <c r="Q275" s="1789"/>
    </row>
    <row r="276" spans="3:17">
      <c r="C276" s="1789"/>
      <c r="D276" s="1789" t="s">
        <v>2869</v>
      </c>
      <c r="E276" s="1789"/>
      <c r="F276" s="1789"/>
      <c r="G276" s="1789"/>
      <c r="H276" s="1789"/>
      <c r="I276" s="1848">
        <v>0.01</v>
      </c>
      <c r="J276" s="1789" t="s">
        <v>2872</v>
      </c>
      <c r="K276" s="1789"/>
      <c r="L276" s="1789"/>
      <c r="M276" s="1789"/>
      <c r="N276" s="1789"/>
      <c r="O276" s="1789"/>
      <c r="P276" s="1789"/>
      <c r="Q276" s="1789"/>
    </row>
    <row r="277" spans="3:17">
      <c r="C277" s="1789"/>
      <c r="D277" s="1789" t="s">
        <v>2870</v>
      </c>
      <c r="E277" s="1789"/>
      <c r="F277" s="1789"/>
      <c r="G277" s="1789"/>
      <c r="H277" s="1789"/>
      <c r="I277" s="1848">
        <v>0.02</v>
      </c>
      <c r="J277" s="1789" t="s">
        <v>2872</v>
      </c>
      <c r="K277" s="1789"/>
      <c r="L277" s="1789"/>
      <c r="M277" s="1789"/>
      <c r="N277" s="1789"/>
      <c r="O277" s="1789"/>
      <c r="P277" s="1789"/>
      <c r="Q277" s="1789"/>
    </row>
    <row r="278" spans="3:17"/>
    <row r="279" spans="3:17" hidden="1"/>
    <row r="280" spans="3:17" hidden="1"/>
    <row r="281" spans="3:17" hidden="1"/>
    <row r="282" spans="3:17" hidden="1"/>
    <row r="283" spans="3:17" hidden="1"/>
    <row r="284" spans="3:17" hidden="1"/>
    <row r="285" spans="3:17" hidden="1"/>
    <row r="286" spans="3:17" hidden="1"/>
    <row r="287" spans="3:17" hidden="1"/>
    <row r="288" spans="3:17"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sheetData>
  <sheetProtection password="9DA9" sheet="1" objects="1" scenarios="1"/>
  <phoneticPr fontId="21"/>
  <conditionalFormatting sqref="D4 D63 D6">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60" fitToHeight="0" orientation="portrait" verticalDpi="300" r:id="rId1"/>
  <headerFooter alignWithMargins="0">
    <oddHeader>&amp;L&amp;F&amp;R&amp;A</oddHeader>
    <oddFooter>&amp;C&amp;P/&amp;N</oddFooter>
  </headerFooter>
  <rowBreaks count="2" manualBreakCount="2">
    <brk id="92" max="17" man="1"/>
    <brk id="198"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showGridLines="0" zoomScaleNormal="100" workbookViewId="0"/>
  </sheetViews>
  <sheetFormatPr defaultColWidth="0" defaultRowHeight="13.5" customHeight="1" zeroHeight="1"/>
  <cols>
    <col min="1" max="1" width="1.125" style="1018" customWidth="1"/>
    <col min="2" max="18" width="8.75" style="1018" customWidth="1"/>
    <col min="19" max="19" width="1.5" style="1018" customWidth="1"/>
    <col min="20" max="16384" width="8.75" style="1018" hidden="1"/>
  </cols>
  <sheetData>
    <row r="1" spans="2:18" ht="13.5" customHeight="1">
      <c r="B1" s="2201"/>
      <c r="C1" s="2201"/>
      <c r="D1" s="2201"/>
      <c r="E1" s="2201"/>
      <c r="F1" s="2201"/>
      <c r="G1" s="2201"/>
      <c r="H1" s="2201"/>
      <c r="I1" s="2201"/>
      <c r="J1" s="2201"/>
      <c r="K1" s="2201"/>
      <c r="L1" s="2201"/>
      <c r="M1" s="2201"/>
      <c r="N1" s="2201"/>
      <c r="O1" s="2201"/>
      <c r="P1" s="2201"/>
      <c r="Q1" s="2201"/>
      <c r="R1" s="2201"/>
    </row>
    <row r="2" spans="2:18" ht="13.5" customHeight="1">
      <c r="B2" s="2201"/>
      <c r="C2" s="2201"/>
      <c r="D2" s="2201"/>
      <c r="E2" s="2201"/>
      <c r="F2" s="2201"/>
      <c r="G2" s="2201"/>
      <c r="H2" s="2201"/>
      <c r="I2" s="2201"/>
      <c r="J2" s="2201"/>
      <c r="K2" s="2201"/>
      <c r="L2" s="2201"/>
      <c r="M2" s="2201"/>
      <c r="N2" s="2201"/>
      <c r="O2" s="2201"/>
      <c r="P2" s="2201"/>
      <c r="Q2" s="2201"/>
      <c r="R2" s="2201"/>
    </row>
    <row r="3" spans="2:18" ht="13.5" customHeight="1">
      <c r="B3" s="2201"/>
      <c r="C3" s="2201"/>
      <c r="D3" s="2201"/>
      <c r="E3" s="2201"/>
      <c r="F3" s="2201"/>
      <c r="G3" s="2201"/>
      <c r="H3" s="2201"/>
      <c r="I3" s="2201"/>
      <c r="J3" s="2201"/>
      <c r="K3" s="2201"/>
      <c r="L3" s="2201"/>
      <c r="M3" s="2201"/>
      <c r="N3" s="2201"/>
      <c r="O3" s="2201"/>
      <c r="P3" s="2201"/>
      <c r="Q3" s="2201"/>
      <c r="R3" s="2201"/>
    </row>
    <row r="4" spans="2:18" ht="13.5" customHeight="1">
      <c r="B4" s="2201"/>
      <c r="C4" s="2201"/>
      <c r="D4" s="2201"/>
      <c r="E4" s="2201"/>
      <c r="F4" s="2201"/>
      <c r="G4" s="2201"/>
      <c r="H4" s="2201"/>
      <c r="I4" s="2201"/>
      <c r="J4" s="2201"/>
      <c r="K4" s="2201"/>
      <c r="L4" s="2201"/>
      <c r="M4" s="2201"/>
      <c r="N4" s="2201"/>
      <c r="O4" s="2201"/>
      <c r="P4" s="2201"/>
      <c r="Q4" s="2201"/>
      <c r="R4" s="2201"/>
    </row>
    <row r="5" spans="2:18" ht="13.5" customHeight="1">
      <c r="B5" s="2201"/>
      <c r="C5" s="2201"/>
      <c r="D5" s="2201"/>
      <c r="E5" s="2201"/>
      <c r="F5" s="2201"/>
      <c r="G5" s="2201"/>
      <c r="H5" s="2201"/>
      <c r="I5" s="2201"/>
      <c r="J5" s="2201"/>
      <c r="K5" s="2201"/>
      <c r="L5" s="2201"/>
      <c r="M5" s="2201"/>
      <c r="N5" s="2201"/>
      <c r="O5" s="2201"/>
      <c r="P5" s="2201"/>
      <c r="Q5" s="2201"/>
      <c r="R5" s="2201"/>
    </row>
    <row r="6" spans="2:18" ht="13.5" customHeight="1">
      <c r="B6" s="2201"/>
      <c r="C6" s="2201"/>
      <c r="D6" s="2201"/>
      <c r="E6" s="2201"/>
      <c r="F6" s="2201"/>
      <c r="G6" s="2201"/>
      <c r="H6" s="2201"/>
      <c r="I6" s="2201"/>
      <c r="J6" s="2201"/>
      <c r="K6" s="2201"/>
      <c r="L6" s="2201"/>
      <c r="M6" s="2201"/>
      <c r="N6" s="2201"/>
      <c r="O6" s="2201"/>
      <c r="P6" s="2201"/>
      <c r="Q6" s="2201"/>
      <c r="R6" s="2201"/>
    </row>
    <row r="7" spans="2:18" ht="13.5" customHeight="1">
      <c r="B7" s="2201"/>
      <c r="C7" s="2201"/>
      <c r="D7" s="2201"/>
      <c r="E7" s="2201"/>
      <c r="F7" s="2201"/>
      <c r="G7" s="2201"/>
      <c r="H7" s="2201"/>
      <c r="I7" s="2201"/>
      <c r="J7" s="2201"/>
      <c r="K7" s="2201"/>
      <c r="L7" s="2201"/>
      <c r="M7" s="2201"/>
      <c r="N7" s="2201"/>
      <c r="O7" s="2201"/>
      <c r="P7" s="2201"/>
      <c r="Q7" s="2201"/>
      <c r="R7" s="2201"/>
    </row>
    <row r="8" spans="2:18" ht="13.5" customHeight="1">
      <c r="B8" s="2201"/>
      <c r="C8" s="2201"/>
      <c r="D8" s="2201"/>
      <c r="E8" s="2201"/>
      <c r="F8" s="2201"/>
      <c r="G8" s="2201"/>
      <c r="H8" s="2201"/>
      <c r="I8" s="2201"/>
      <c r="J8" s="2201"/>
      <c r="K8" s="2201"/>
      <c r="L8" s="2201"/>
      <c r="M8" s="2201"/>
      <c r="N8" s="2201"/>
      <c r="O8" s="2201"/>
      <c r="P8" s="2201"/>
      <c r="Q8" s="2201"/>
      <c r="R8" s="2201"/>
    </row>
    <row r="9" spans="2:18" ht="13.5" customHeight="1">
      <c r="B9" s="2201"/>
      <c r="C9" s="2201"/>
      <c r="D9" s="2201"/>
      <c r="E9" s="2201"/>
      <c r="F9" s="2201"/>
      <c r="G9" s="2201"/>
      <c r="H9" s="2201"/>
      <c r="I9" s="2201"/>
      <c r="J9" s="2201"/>
      <c r="K9" s="2201"/>
      <c r="L9" s="2201"/>
      <c r="M9" s="2201"/>
      <c r="N9" s="2201"/>
      <c r="O9" s="2201"/>
      <c r="P9" s="2201"/>
      <c r="Q9" s="2201"/>
      <c r="R9" s="2201"/>
    </row>
    <row r="10" spans="2:18" ht="13.5" customHeight="1">
      <c r="B10" s="2201"/>
      <c r="C10" s="2201"/>
      <c r="D10" s="2201"/>
      <c r="E10" s="2201"/>
      <c r="F10" s="2201"/>
      <c r="G10" s="2201"/>
      <c r="H10" s="2201"/>
      <c r="I10" s="2201"/>
      <c r="J10" s="2201"/>
      <c r="K10" s="2201"/>
      <c r="L10" s="2201"/>
      <c r="M10" s="2201"/>
      <c r="N10" s="2201"/>
      <c r="O10" s="2201"/>
      <c r="P10" s="2201"/>
      <c r="Q10" s="2201"/>
      <c r="R10" s="2201"/>
    </row>
    <row r="11" spans="2:18" ht="13.5" customHeight="1">
      <c r="B11" s="2201"/>
      <c r="C11" s="2201"/>
      <c r="D11" s="2201"/>
      <c r="E11" s="2201"/>
      <c r="F11" s="2201"/>
      <c r="G11" s="2201"/>
      <c r="H11" s="2201"/>
      <c r="I11" s="2201"/>
      <c r="J11" s="2201"/>
      <c r="K11" s="2201"/>
      <c r="L11" s="2201"/>
      <c r="M11" s="2201"/>
      <c r="N11" s="2201"/>
      <c r="O11" s="2201"/>
      <c r="P11" s="2201"/>
      <c r="Q11" s="2201"/>
      <c r="R11" s="2201"/>
    </row>
    <row r="12" spans="2:18" ht="13.5" customHeight="1">
      <c r="B12" s="2201"/>
      <c r="C12" s="2201"/>
      <c r="D12" s="2201"/>
      <c r="E12" s="2201"/>
      <c r="F12" s="2201"/>
      <c r="G12" s="2201"/>
      <c r="H12" s="2201"/>
      <c r="I12" s="2201"/>
      <c r="J12" s="2201"/>
      <c r="K12" s="2201"/>
      <c r="L12" s="2201"/>
      <c r="M12" s="2201"/>
      <c r="N12" s="2201"/>
      <c r="O12" s="2201"/>
      <c r="P12" s="2201"/>
      <c r="Q12" s="2201"/>
      <c r="R12" s="2201"/>
    </row>
    <row r="13" spans="2:18" ht="18.75">
      <c r="B13" s="2201"/>
      <c r="C13" s="2201"/>
      <c r="D13" s="2201"/>
      <c r="E13" s="2202"/>
      <c r="F13" s="2201"/>
      <c r="G13" s="2201"/>
      <c r="H13" s="2201"/>
      <c r="I13" s="2201"/>
      <c r="J13" s="2201"/>
      <c r="K13" s="2201"/>
      <c r="L13" s="2201"/>
      <c r="M13" s="2201"/>
      <c r="N13" s="2201"/>
      <c r="O13" s="2201"/>
      <c r="P13" s="2201"/>
      <c r="Q13" s="2201"/>
      <c r="R13" s="2201"/>
    </row>
    <row r="14" spans="2:18" ht="13.5" customHeight="1">
      <c r="B14" s="2201"/>
      <c r="C14" s="2201"/>
      <c r="D14" s="2201"/>
      <c r="E14" s="2201"/>
      <c r="F14" s="2201"/>
      <c r="G14" s="2201"/>
      <c r="H14" s="2201"/>
      <c r="I14" s="2201"/>
      <c r="J14" s="2201"/>
      <c r="K14" s="2201"/>
      <c r="L14" s="2201"/>
      <c r="M14" s="2201"/>
      <c r="N14" s="2201"/>
      <c r="O14" s="2201"/>
      <c r="P14" s="2201"/>
      <c r="Q14" s="2201"/>
      <c r="R14" s="2201"/>
    </row>
    <row r="15" spans="2:18" ht="13.5" customHeight="1">
      <c r="B15" s="2201"/>
      <c r="C15" s="2201"/>
      <c r="D15" s="2201"/>
      <c r="E15" s="2201"/>
      <c r="F15" s="2201"/>
      <c r="G15" s="2201"/>
      <c r="H15" s="2201"/>
      <c r="I15" s="2201"/>
      <c r="J15" s="2201"/>
      <c r="K15" s="2201"/>
      <c r="L15" s="2201"/>
      <c r="M15" s="2201"/>
      <c r="N15" s="2201"/>
      <c r="O15" s="2201"/>
      <c r="P15" s="2201"/>
      <c r="Q15" s="2201"/>
      <c r="R15" s="2201"/>
    </row>
    <row r="16" spans="2:18" ht="13.5" customHeight="1">
      <c r="B16" s="2201"/>
      <c r="C16" s="2201"/>
      <c r="D16" s="2201"/>
      <c r="E16" s="2201"/>
      <c r="F16" s="2201"/>
      <c r="G16" s="2201"/>
      <c r="H16" s="2201"/>
      <c r="I16" s="2201"/>
      <c r="J16" s="2201"/>
      <c r="K16" s="2201"/>
      <c r="L16" s="2201"/>
      <c r="M16" s="2201"/>
      <c r="N16" s="2201"/>
      <c r="O16" s="2201"/>
      <c r="P16" s="2201"/>
      <c r="Q16" s="2201"/>
      <c r="R16" s="2201"/>
    </row>
    <row r="17" spans="2:18" ht="13.5" customHeight="1">
      <c r="B17" s="2201"/>
      <c r="C17" s="2201"/>
      <c r="D17" s="2201"/>
      <c r="E17" s="2201"/>
      <c r="F17" s="2201"/>
      <c r="G17" s="2201"/>
      <c r="H17" s="2201"/>
      <c r="I17" s="2201"/>
      <c r="J17" s="2201"/>
      <c r="K17" s="2201"/>
      <c r="L17" s="2201"/>
      <c r="M17" s="2201"/>
      <c r="N17" s="2201"/>
      <c r="O17" s="2201"/>
      <c r="P17" s="2201"/>
      <c r="Q17" s="2201"/>
      <c r="R17" s="2201"/>
    </row>
    <row r="18" spans="2:18" ht="13.5" customHeight="1">
      <c r="B18" s="2201"/>
      <c r="C18" s="2201"/>
      <c r="D18" s="2201"/>
      <c r="E18" s="2201"/>
      <c r="F18" s="2201"/>
      <c r="G18" s="2201"/>
      <c r="H18" s="2201"/>
      <c r="I18" s="2201"/>
      <c r="J18" s="2201"/>
      <c r="K18" s="2201"/>
      <c r="L18" s="2201"/>
      <c r="M18" s="2201"/>
      <c r="N18" s="2201"/>
      <c r="O18" s="2201"/>
      <c r="P18" s="2201"/>
      <c r="Q18" s="2201"/>
      <c r="R18" s="2201"/>
    </row>
    <row r="19" spans="2:18" ht="13.5" customHeight="1">
      <c r="B19" s="2201"/>
      <c r="C19" s="2201"/>
      <c r="D19" s="2201"/>
      <c r="E19" s="2201"/>
      <c r="F19" s="2201"/>
      <c r="G19" s="2201"/>
      <c r="H19" s="2201"/>
      <c r="I19" s="2201"/>
      <c r="J19" s="2201"/>
      <c r="K19" s="2201"/>
      <c r="L19" s="2201"/>
      <c r="M19" s="2201"/>
      <c r="N19" s="2201"/>
      <c r="O19" s="2201"/>
      <c r="P19" s="2201"/>
      <c r="Q19" s="2201"/>
      <c r="R19" s="2201"/>
    </row>
    <row r="20" spans="2:18" ht="13.5" customHeight="1">
      <c r="B20" s="2201"/>
      <c r="C20" s="2201"/>
      <c r="D20" s="2201"/>
      <c r="E20" s="2201"/>
      <c r="F20" s="2201"/>
      <c r="G20" s="2201"/>
      <c r="H20" s="2201"/>
      <c r="I20" s="2201"/>
      <c r="J20" s="2201"/>
      <c r="K20" s="2201"/>
      <c r="L20" s="2201"/>
      <c r="M20" s="2201"/>
      <c r="N20" s="2201"/>
      <c r="O20" s="2201"/>
      <c r="P20" s="2201"/>
      <c r="Q20" s="2201"/>
      <c r="R20" s="2201"/>
    </row>
    <row r="21" spans="2:18" ht="13.5" customHeight="1">
      <c r="B21" s="2201"/>
      <c r="C21" s="2201"/>
      <c r="D21" s="2201"/>
      <c r="E21" s="2201"/>
      <c r="F21" s="2201"/>
      <c r="G21" s="2201"/>
      <c r="H21" s="2201"/>
      <c r="I21" s="2201"/>
      <c r="J21" s="2201"/>
      <c r="K21" s="2201"/>
      <c r="L21" s="2201"/>
      <c r="M21" s="2201"/>
      <c r="N21" s="2201"/>
      <c r="O21" s="2201"/>
      <c r="P21" s="2201"/>
      <c r="Q21" s="2201"/>
      <c r="R21" s="2201"/>
    </row>
    <row r="22" spans="2:18" ht="13.5" customHeight="1">
      <c r="B22" s="2201"/>
      <c r="C22" s="2201"/>
      <c r="D22" s="2201"/>
      <c r="E22" s="2201"/>
      <c r="F22" s="2201"/>
      <c r="G22" s="2201"/>
      <c r="H22" s="2201"/>
      <c r="I22" s="2201"/>
      <c r="J22" s="2201"/>
      <c r="K22" s="2201"/>
      <c r="L22" s="2201"/>
      <c r="M22" s="2201"/>
      <c r="N22" s="2201"/>
      <c r="O22" s="2201"/>
      <c r="P22" s="2201"/>
      <c r="Q22" s="2201"/>
      <c r="R22" s="2201"/>
    </row>
    <row r="23" spans="2:18" ht="13.5" customHeight="1">
      <c r="B23" s="2201"/>
      <c r="C23" s="2201"/>
      <c r="D23" s="2201"/>
      <c r="E23" s="2201"/>
      <c r="F23" s="2201"/>
      <c r="G23" s="2201"/>
      <c r="H23" s="2201"/>
      <c r="I23" s="2201"/>
      <c r="J23" s="2201"/>
      <c r="K23" s="2201"/>
      <c r="L23" s="2201"/>
      <c r="M23" s="2201"/>
      <c r="N23" s="2201"/>
      <c r="O23" s="2201"/>
      <c r="P23" s="2201"/>
      <c r="Q23" s="2201"/>
      <c r="R23" s="2201"/>
    </row>
    <row r="24" spans="2:18" ht="13.5" customHeight="1">
      <c r="B24" s="2201"/>
      <c r="C24" s="2201"/>
      <c r="D24" s="2201"/>
      <c r="E24" s="2201"/>
      <c r="F24" s="2201"/>
      <c r="G24" s="2201"/>
      <c r="H24" s="2201"/>
      <c r="I24" s="2201"/>
      <c r="J24" s="2201"/>
      <c r="K24" s="2201"/>
      <c r="L24" s="2201"/>
      <c r="M24" s="2201"/>
      <c r="N24" s="2201"/>
      <c r="O24" s="2201"/>
      <c r="P24" s="2201"/>
      <c r="Q24" s="2201"/>
      <c r="R24" s="2201"/>
    </row>
    <row r="25" spans="2:18" ht="13.5" customHeight="1">
      <c r="B25" s="2201"/>
      <c r="C25" s="2201"/>
      <c r="D25" s="2201"/>
      <c r="E25" s="2201"/>
      <c r="F25" s="2201"/>
      <c r="G25" s="2201"/>
      <c r="H25" s="2201"/>
      <c r="I25" s="2201"/>
      <c r="J25" s="2201"/>
      <c r="K25" s="2201"/>
      <c r="L25" s="2201"/>
      <c r="M25" s="2201"/>
      <c r="N25" s="2201"/>
      <c r="O25" s="2201"/>
      <c r="P25" s="2201"/>
      <c r="Q25" s="2201"/>
      <c r="R25" s="2201"/>
    </row>
    <row r="26" spans="2:18" ht="13.5" customHeight="1">
      <c r="B26" s="2201"/>
      <c r="C26" s="2201"/>
      <c r="D26" s="2201"/>
      <c r="E26" s="2201"/>
      <c r="F26" s="2201"/>
      <c r="G26" s="2201"/>
      <c r="H26" s="2201"/>
      <c r="I26" s="2201"/>
      <c r="J26" s="2201"/>
      <c r="K26" s="2201"/>
      <c r="L26" s="2201"/>
      <c r="M26" s="2201"/>
      <c r="N26" s="2201"/>
      <c r="O26" s="2201"/>
      <c r="P26" s="2201"/>
      <c r="Q26" s="2201"/>
      <c r="R26" s="2201"/>
    </row>
    <row r="27" spans="2:18" ht="13.5" customHeight="1">
      <c r="B27" s="2201"/>
      <c r="C27" s="2201"/>
      <c r="D27" s="2201"/>
      <c r="E27" s="2201"/>
      <c r="F27" s="2201"/>
      <c r="G27" s="2201"/>
      <c r="H27" s="2201"/>
      <c r="I27" s="2201"/>
      <c r="J27" s="2201"/>
      <c r="K27" s="2201"/>
      <c r="L27" s="2201"/>
      <c r="M27" s="2201"/>
      <c r="N27" s="2201"/>
      <c r="O27" s="2201"/>
      <c r="P27" s="2201"/>
      <c r="Q27" s="2201"/>
      <c r="R27" s="2201"/>
    </row>
    <row r="28" spans="2:18" ht="13.5" customHeight="1">
      <c r="B28" s="2201"/>
      <c r="C28" s="2201"/>
      <c r="D28" s="2201"/>
      <c r="E28" s="2201"/>
      <c r="F28" s="2201"/>
      <c r="G28" s="2201"/>
      <c r="H28" s="2201"/>
      <c r="I28" s="2201"/>
      <c r="J28" s="2201"/>
      <c r="K28" s="2201"/>
      <c r="L28" s="2201"/>
      <c r="M28" s="2201"/>
      <c r="N28" s="2201"/>
      <c r="O28" s="2201"/>
      <c r="P28" s="2201"/>
      <c r="Q28" s="2201"/>
      <c r="R28" s="2201"/>
    </row>
    <row r="29" spans="2:18" ht="13.5" customHeight="1">
      <c r="B29" s="2201"/>
      <c r="C29" s="2201"/>
      <c r="D29" s="2201"/>
      <c r="E29" s="2201"/>
      <c r="F29" s="2201"/>
      <c r="G29" s="2201"/>
      <c r="H29" s="2201"/>
      <c r="I29" s="2201"/>
      <c r="J29" s="2201"/>
      <c r="K29" s="2201"/>
      <c r="L29" s="2201"/>
      <c r="M29" s="2201"/>
      <c r="N29" s="2201"/>
      <c r="O29" s="2201"/>
      <c r="P29" s="2201"/>
      <c r="Q29" s="2201"/>
      <c r="R29" s="2201"/>
    </row>
    <row r="30" spans="2:18" ht="13.5" customHeight="1">
      <c r="B30" s="2201"/>
      <c r="C30" s="2201"/>
      <c r="D30" s="2201"/>
      <c r="E30" s="2201"/>
      <c r="F30" s="2201"/>
      <c r="G30" s="2201"/>
      <c r="H30" s="2201"/>
      <c r="I30" s="2201"/>
      <c r="J30" s="2201"/>
      <c r="K30" s="2201"/>
      <c r="L30" s="2201"/>
      <c r="M30" s="2201"/>
      <c r="N30" s="2201"/>
      <c r="O30" s="2201"/>
      <c r="P30" s="2201"/>
      <c r="Q30" s="2201"/>
      <c r="R30" s="2201"/>
    </row>
    <row r="31" spans="2:18" ht="13.5" customHeight="1">
      <c r="B31" s="2201"/>
      <c r="C31" s="2201"/>
      <c r="D31" s="2201"/>
      <c r="E31" s="2201"/>
      <c r="F31" s="2201"/>
      <c r="G31" s="2201"/>
      <c r="H31" s="2201"/>
      <c r="I31" s="2201"/>
      <c r="J31" s="2201"/>
      <c r="K31" s="2201"/>
      <c r="L31" s="2201"/>
      <c r="M31" s="2201"/>
      <c r="N31" s="2201"/>
      <c r="O31" s="2201"/>
      <c r="P31" s="2201"/>
      <c r="Q31" s="2201"/>
      <c r="R31" s="2201"/>
    </row>
    <row r="32" spans="2:18" ht="13.5" customHeight="1">
      <c r="B32" s="2201"/>
      <c r="C32" s="2201"/>
      <c r="D32" s="2201"/>
      <c r="E32" s="2201"/>
      <c r="F32" s="2201"/>
      <c r="G32" s="2201"/>
      <c r="H32" s="2201"/>
      <c r="I32" s="2201"/>
      <c r="J32" s="2201"/>
      <c r="K32" s="2201"/>
      <c r="L32" s="2201"/>
      <c r="M32" s="2201"/>
      <c r="N32" s="2201"/>
      <c r="O32" s="2201"/>
      <c r="P32" s="2201"/>
      <c r="Q32" s="2201"/>
      <c r="R32" s="2201"/>
    </row>
    <row r="33" spans="2:18" ht="13.5" customHeight="1">
      <c r="B33" s="2201"/>
      <c r="C33" s="2201"/>
      <c r="D33" s="2201"/>
      <c r="E33" s="2201"/>
      <c r="F33" s="2201"/>
      <c r="G33" s="2201"/>
      <c r="H33" s="2201"/>
      <c r="I33" s="2201"/>
      <c r="J33" s="2201"/>
      <c r="K33" s="2201"/>
      <c r="L33" s="2201"/>
      <c r="M33" s="2201"/>
      <c r="N33" s="2201"/>
      <c r="O33" s="2201"/>
      <c r="P33" s="2201"/>
      <c r="Q33" s="2201"/>
      <c r="R33" s="2201"/>
    </row>
    <row r="34" spans="2:18" ht="13.5" customHeight="1">
      <c r="B34" s="2201"/>
      <c r="C34" s="2201"/>
      <c r="D34" s="2201"/>
      <c r="E34" s="2201"/>
      <c r="F34" s="2201"/>
      <c r="G34" s="2201"/>
      <c r="H34" s="2201"/>
      <c r="I34" s="2201"/>
      <c r="J34" s="2201"/>
      <c r="K34" s="2201"/>
      <c r="L34" s="2201"/>
      <c r="M34" s="2201"/>
      <c r="N34" s="2201"/>
      <c r="O34" s="2201"/>
      <c r="P34" s="2201"/>
      <c r="Q34" s="2201"/>
      <c r="R34" s="2201"/>
    </row>
    <row r="35" spans="2:18" ht="13.5" customHeight="1">
      <c r="B35" s="2201"/>
      <c r="C35" s="2201"/>
      <c r="D35" s="2201"/>
      <c r="E35" s="2201"/>
      <c r="F35" s="2201"/>
      <c r="G35" s="2201"/>
      <c r="H35" s="2201"/>
      <c r="I35" s="2201"/>
      <c r="J35" s="2201"/>
      <c r="K35" s="2201"/>
      <c r="L35" s="2201"/>
      <c r="M35" s="2201"/>
      <c r="N35" s="2201"/>
      <c r="O35" s="2201"/>
      <c r="P35" s="2201"/>
      <c r="Q35" s="2201"/>
      <c r="R35" s="2201"/>
    </row>
    <row r="36" spans="2:18" ht="13.5" customHeight="1">
      <c r="B36" s="2201"/>
      <c r="C36" s="2201"/>
      <c r="D36" s="2201"/>
      <c r="E36" s="2201"/>
      <c r="F36" s="2201"/>
      <c r="G36" s="2201"/>
      <c r="H36" s="2201"/>
      <c r="I36" s="2201"/>
      <c r="J36" s="2201"/>
      <c r="K36" s="2201"/>
      <c r="L36" s="2201"/>
      <c r="M36" s="2201"/>
      <c r="N36" s="2201"/>
      <c r="O36" s="2201"/>
      <c r="P36" s="2201"/>
      <c r="Q36" s="2201"/>
      <c r="R36" s="2201"/>
    </row>
    <row r="37" spans="2:18" ht="13.5" customHeight="1">
      <c r="G37" s="2201"/>
      <c r="H37" s="2201"/>
      <c r="I37" s="2201"/>
      <c r="J37" s="2201"/>
      <c r="K37" s="2201"/>
      <c r="L37" s="2201"/>
      <c r="M37" s="2201"/>
      <c r="N37" s="2201"/>
      <c r="O37" s="2201"/>
      <c r="P37" s="2201"/>
      <c r="Q37" s="2201"/>
      <c r="R37" s="2201"/>
    </row>
    <row r="38" spans="2:18" ht="13.5" hidden="1" customHeight="1">
      <c r="J38" s="2201"/>
      <c r="K38" s="2201"/>
      <c r="L38" s="2201"/>
      <c r="M38" s="2201"/>
      <c r="N38" s="2201"/>
      <c r="O38" s="2201"/>
      <c r="P38" s="2201"/>
      <c r="Q38" s="2201"/>
      <c r="R38" s="2201"/>
    </row>
    <row r="152" ht="13.5" hidden="1" customHeight="1"/>
  </sheetData>
  <sheetProtection password="9DA9" sheet="1" objects="1" scenarios="1"/>
  <phoneticPr fontId="21"/>
  <printOptions horizontalCentered="1"/>
  <pageMargins left="0.59055118110236227" right="0.59055118110236227" top="0.78740157480314965" bottom="0.59055118110236227" header="0.51181102362204722" footer="0.51181102362204722"/>
  <pageSetup paperSize="9" scale="60" orientation="portrait" verticalDpi="4294967293"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4"/>
  <sheetViews>
    <sheetView showGridLines="0" workbookViewId="0">
      <selection activeCell="A2" sqref="A2"/>
    </sheetView>
  </sheetViews>
  <sheetFormatPr defaultColWidth="0" defaultRowHeight="0" customHeight="1" zeroHeight="1"/>
  <cols>
    <col min="1" max="1" width="0.75" style="156" customWidth="1"/>
    <col min="2" max="2" width="2.125" style="174" customWidth="1"/>
    <col min="3" max="3" width="13.375" style="174" customWidth="1"/>
    <col min="4" max="4" width="5.375" style="175" customWidth="1"/>
    <col min="5" max="5" width="9.75" style="565" customWidth="1"/>
    <col min="6" max="6" width="6.25" style="539" customWidth="1"/>
    <col min="7" max="7" width="6.5" style="539" customWidth="1"/>
    <col min="8" max="8" width="13.125" style="539" customWidth="1"/>
    <col min="9" max="9" width="6.875" style="540" customWidth="1"/>
    <col min="10" max="10" width="12.125" style="540" customWidth="1"/>
    <col min="11" max="12" width="11.875" style="539" customWidth="1"/>
    <col min="13" max="13" width="11.75" style="542" customWidth="1"/>
    <col min="14" max="14" width="8.625" style="542" customWidth="1"/>
    <col min="15" max="15" width="11.5" style="542" customWidth="1"/>
    <col min="16" max="16" width="0.75" style="156" customWidth="1"/>
    <col min="17" max="17" width="3.875" style="156" bestFit="1" customWidth="1"/>
    <col min="18" max="18" width="9.875" style="166" hidden="1" customWidth="1"/>
    <col min="19" max="19" width="9.875" style="551" hidden="1" customWidth="1"/>
    <col min="20" max="20" width="9.875" style="166" hidden="1" customWidth="1"/>
    <col min="21" max="21" width="9.125" style="166" hidden="1" customWidth="1"/>
    <col min="22" max="22" width="14.5" style="166" hidden="1" customWidth="1"/>
    <col min="23" max="23" width="11.125" style="166" hidden="1" customWidth="1"/>
    <col min="24" max="24" width="20.5" style="166" hidden="1" customWidth="1"/>
    <col min="25" max="25" width="18.625" style="166" hidden="1" customWidth="1"/>
    <col min="26" max="26" width="23" style="166" hidden="1" customWidth="1"/>
    <col min="27" max="27" width="4.5" style="166" hidden="1" customWidth="1"/>
    <col min="28" max="28" width="6.375" style="166" hidden="1" customWidth="1"/>
    <col min="29" max="29" width="6.375" style="525" hidden="1" customWidth="1"/>
    <col min="30" max="31" width="5" style="525" hidden="1" customWidth="1"/>
    <col min="32" max="32" width="5.125" style="525" hidden="1" customWidth="1"/>
    <col min="33" max="47" width="0" style="525" hidden="1" customWidth="1"/>
    <col min="48" max="16384" width="9" style="525" hidden="1"/>
  </cols>
  <sheetData>
    <row r="1" spans="1:28" s="154" customFormat="1" ht="6" customHeight="1" thickBot="1">
      <c r="A1" s="146"/>
      <c r="B1" s="147"/>
      <c r="C1" s="148"/>
      <c r="D1" s="149"/>
      <c r="E1" s="150"/>
      <c r="F1" s="151"/>
      <c r="G1" s="151"/>
      <c r="H1" s="151"/>
      <c r="I1" s="152"/>
      <c r="J1" s="152"/>
      <c r="K1" s="151"/>
      <c r="L1" s="153"/>
      <c r="M1" s="150"/>
      <c r="N1" s="150"/>
      <c r="O1" s="146"/>
      <c r="P1" s="146"/>
      <c r="Q1" s="146"/>
      <c r="S1" s="155"/>
    </row>
    <row r="2" spans="1:28" s="166" customFormat="1" ht="18.75" customHeight="1" thickTop="1">
      <c r="A2" s="156"/>
      <c r="B2" s="157"/>
      <c r="C2" s="158"/>
      <c r="D2" s="159"/>
      <c r="E2" s="160"/>
      <c r="F2" s="161"/>
      <c r="G2" s="161"/>
      <c r="H2" s="161"/>
      <c r="I2" s="162"/>
      <c r="J2" s="163"/>
      <c r="K2" s="163"/>
      <c r="L2" s="163"/>
      <c r="M2" s="163"/>
      <c r="N2" s="161"/>
      <c r="O2" s="164"/>
      <c r="P2" s="156"/>
      <c r="Q2" s="2773" t="s">
        <v>2470</v>
      </c>
      <c r="R2" s="165"/>
      <c r="S2" s="165"/>
      <c r="T2" s="165"/>
      <c r="U2" s="165"/>
      <c r="V2" s="165"/>
      <c r="W2" s="165"/>
      <c r="X2" s="165"/>
      <c r="Y2" s="165"/>
      <c r="Z2" s="165"/>
      <c r="AA2" s="165"/>
      <c r="AB2" s="165"/>
    </row>
    <row r="3" spans="1:28" s="166" customFormat="1" ht="18.75" customHeight="1">
      <c r="A3" s="156"/>
      <c r="B3" s="157"/>
      <c r="C3" s="158"/>
      <c r="D3" s="159"/>
      <c r="E3" s="160"/>
      <c r="F3" s="161"/>
      <c r="G3" s="161"/>
      <c r="H3" s="161"/>
      <c r="I3" s="162"/>
      <c r="J3" s="163"/>
      <c r="K3" s="163"/>
      <c r="L3" s="163"/>
      <c r="M3" s="163"/>
      <c r="N3" s="161"/>
      <c r="O3" s="167"/>
      <c r="P3" s="156"/>
      <c r="Q3" s="2774"/>
      <c r="R3" s="165"/>
      <c r="S3" s="165"/>
      <c r="T3" s="165"/>
      <c r="U3" s="165"/>
      <c r="V3" s="165"/>
      <c r="W3" s="165"/>
      <c r="X3" s="165"/>
      <c r="Y3" s="165"/>
      <c r="Z3" s="165"/>
      <c r="AA3" s="165"/>
      <c r="AB3" s="165"/>
    </row>
    <row r="4" spans="1:28" s="166" customFormat="1" ht="18.75" customHeight="1">
      <c r="A4" s="156"/>
      <c r="B4" s="157"/>
      <c r="C4" s="158"/>
      <c r="D4" s="159"/>
      <c r="E4" s="160"/>
      <c r="F4" s="161"/>
      <c r="G4" s="161"/>
      <c r="H4" s="161"/>
      <c r="I4" s="168"/>
      <c r="J4" s="163"/>
      <c r="K4" s="163"/>
      <c r="L4" s="163"/>
      <c r="M4" s="163"/>
      <c r="N4" s="161"/>
      <c r="O4" s="164"/>
      <c r="P4" s="156"/>
      <c r="Q4" s="2774"/>
      <c r="R4" s="165"/>
      <c r="S4" s="165"/>
      <c r="T4" s="165"/>
      <c r="U4" s="165"/>
      <c r="V4" s="165"/>
      <c r="W4" s="165"/>
      <c r="X4" s="165"/>
      <c r="Y4" s="165"/>
      <c r="Z4" s="165"/>
      <c r="AA4" s="165"/>
      <c r="AB4" s="165"/>
    </row>
    <row r="5" spans="1:28" s="166" customFormat="1" ht="13.5" customHeight="1" thickBot="1">
      <c r="A5" s="156"/>
      <c r="B5" s="169"/>
      <c r="C5" s="170"/>
      <c r="D5" s="159"/>
      <c r="E5" s="160"/>
      <c r="F5" s="161"/>
      <c r="G5" s="161"/>
      <c r="H5" s="161"/>
      <c r="I5" s="171"/>
      <c r="J5" s="172" t="s">
        <v>2344</v>
      </c>
      <c r="K5" s="2800" t="str">
        <f>メイン!C6</f>
        <v>CASBEE-建築(新築)2014年版、名古屋市建築物環境配慮制度運用マニュアル2014</v>
      </c>
      <c r="L5" s="2800"/>
      <c r="M5" s="172" t="s">
        <v>2471</v>
      </c>
      <c r="N5" s="2776" t="str">
        <f>メイン!C5</f>
        <v>CASBEE_Nagoya_2014(v.1.22)</v>
      </c>
      <c r="O5" s="2777"/>
      <c r="P5" s="156"/>
      <c r="Q5" s="2775"/>
      <c r="R5" s="165"/>
      <c r="S5" s="165"/>
      <c r="T5" s="165"/>
      <c r="U5" s="165"/>
      <c r="V5" s="165"/>
      <c r="W5" s="165"/>
      <c r="X5" s="165"/>
      <c r="Y5" s="165"/>
      <c r="Z5" s="165"/>
      <c r="AA5" s="165"/>
      <c r="AB5" s="165"/>
    </row>
    <row r="6" spans="1:28" s="166" customFormat="1" ht="6" customHeight="1" thickTop="1" thickBot="1">
      <c r="A6" s="156"/>
      <c r="B6" s="173"/>
      <c r="C6" s="174"/>
      <c r="D6" s="175"/>
      <c r="E6" s="176"/>
      <c r="F6" s="177"/>
      <c r="G6" s="177"/>
      <c r="H6" s="177"/>
      <c r="I6" s="178"/>
      <c r="J6" s="179"/>
      <c r="K6" s="2801"/>
      <c r="L6" s="2801"/>
      <c r="M6" s="176"/>
      <c r="N6" s="176"/>
      <c r="O6" s="176"/>
      <c r="P6" s="156"/>
      <c r="Q6" s="156"/>
      <c r="R6" s="165"/>
      <c r="S6" s="165"/>
      <c r="T6" s="165"/>
      <c r="U6" s="165"/>
      <c r="V6" s="165"/>
      <c r="W6" s="165"/>
      <c r="X6" s="165"/>
      <c r="Y6" s="165"/>
      <c r="Z6" s="165"/>
      <c r="AA6" s="165"/>
      <c r="AB6" s="165"/>
    </row>
    <row r="7" spans="1:28" s="166" customFormat="1" ht="19.5" customHeight="1" thickBot="1">
      <c r="A7" s="156"/>
      <c r="B7" s="180" t="s">
        <v>2472</v>
      </c>
      <c r="C7" s="181"/>
      <c r="D7" s="182"/>
      <c r="E7" s="181"/>
      <c r="F7" s="181"/>
      <c r="G7" s="181"/>
      <c r="H7" s="183"/>
      <c r="I7" s="184"/>
      <c r="J7" s="184"/>
      <c r="K7" s="184"/>
      <c r="L7" s="185" t="s">
        <v>2473</v>
      </c>
      <c r="M7" s="181"/>
      <c r="N7" s="181"/>
      <c r="O7" s="186"/>
      <c r="P7" s="156"/>
      <c r="Q7" s="156"/>
      <c r="R7" s="187" t="s">
        <v>2474</v>
      </c>
      <c r="S7" s="165"/>
      <c r="T7" s="165"/>
      <c r="U7" s="187" t="s">
        <v>2475</v>
      </c>
      <c r="V7" s="165"/>
      <c r="W7" s="165"/>
      <c r="X7" s="165"/>
      <c r="Y7" s="165"/>
      <c r="Z7" s="165"/>
      <c r="AA7" s="165"/>
      <c r="AB7" s="165"/>
    </row>
    <row r="8" spans="1:28" s="166" customFormat="1" ht="19.5" customHeight="1">
      <c r="A8" s="156"/>
      <c r="B8" s="188" t="s">
        <v>2476</v>
      </c>
      <c r="C8" s="189"/>
      <c r="D8" s="190" t="str">
        <f>メイン!C11</f>
        <v>○○ビル</v>
      </c>
      <c r="E8" s="189"/>
      <c r="F8" s="189"/>
      <c r="G8" s="191"/>
      <c r="H8" s="192" t="s">
        <v>2477</v>
      </c>
      <c r="I8" s="193"/>
      <c r="J8" s="194" t="str">
        <f>メイン!C22</f>
        <v>地上○○F</v>
      </c>
      <c r="K8" s="195"/>
      <c r="L8" s="196"/>
      <c r="M8" s="197"/>
      <c r="N8" s="197"/>
      <c r="O8" s="198"/>
      <c r="P8" s="156"/>
      <c r="Q8" s="156"/>
      <c r="R8" s="199" t="s">
        <v>2649</v>
      </c>
      <c r="S8" s="199">
        <f>スコア!Z8</f>
        <v>3.0000000000000004</v>
      </c>
      <c r="T8" s="165"/>
      <c r="U8" s="200"/>
      <c r="V8" s="200" t="s">
        <v>2478</v>
      </c>
      <c r="W8" s="201" t="s">
        <v>2650</v>
      </c>
      <c r="X8" s="201">
        <v>4</v>
      </c>
      <c r="Y8" s="201">
        <v>2</v>
      </c>
      <c r="Z8" s="202" t="s">
        <v>2651</v>
      </c>
      <c r="AA8" s="203" t="s">
        <v>2652</v>
      </c>
      <c r="AB8" s="165"/>
    </row>
    <row r="9" spans="1:28" s="166" customFormat="1" ht="19.5" customHeight="1">
      <c r="A9" s="156"/>
      <c r="B9" s="204" t="s">
        <v>2480</v>
      </c>
      <c r="C9" s="205"/>
      <c r="D9" s="206" t="str">
        <f>メイン!C12</f>
        <v>名古屋市○○</v>
      </c>
      <c r="E9" s="205"/>
      <c r="F9" s="207"/>
      <c r="H9" s="208" t="s">
        <v>2481</v>
      </c>
      <c r="I9" s="209"/>
      <c r="J9" s="210" t="str">
        <f>メイン!C23</f>
        <v>RC造</v>
      </c>
      <c r="K9" s="211"/>
      <c r="L9" s="212"/>
      <c r="O9" s="213"/>
      <c r="P9" s="156"/>
      <c r="Q9" s="156"/>
      <c r="R9" s="199" t="s">
        <v>2653</v>
      </c>
      <c r="S9" s="199">
        <f>スコア!Z116</f>
        <v>3.3140000000000001</v>
      </c>
      <c r="U9" s="214" t="s">
        <v>2654</v>
      </c>
      <c r="V9" s="200" t="s">
        <v>827</v>
      </c>
      <c r="W9" s="201">
        <v>5</v>
      </c>
      <c r="X9" s="201">
        <v>4</v>
      </c>
      <c r="Y9" s="201">
        <v>2</v>
      </c>
      <c r="Z9" s="215">
        <f>V45</f>
        <v>3</v>
      </c>
      <c r="AA9" s="203">
        <v>3</v>
      </c>
    </row>
    <row r="10" spans="1:28" s="166" customFormat="1" ht="18.75" customHeight="1">
      <c r="A10" s="156"/>
      <c r="B10" s="204" t="s">
        <v>361</v>
      </c>
      <c r="C10" s="216"/>
      <c r="D10" s="206" t="str">
        <f>メイン!C14</f>
        <v>商業地域、防火地域</v>
      </c>
      <c r="E10" s="216"/>
      <c r="F10" s="216"/>
      <c r="H10" s="192" t="s">
        <v>2486</v>
      </c>
      <c r="I10" s="193"/>
      <c r="J10" s="217" t="str">
        <f>メイン!C24</f>
        <v>XX</v>
      </c>
      <c r="K10" s="207" t="s">
        <v>2487</v>
      </c>
      <c r="L10" s="218"/>
      <c r="M10" s="219"/>
      <c r="N10" s="219"/>
      <c r="O10" s="220"/>
      <c r="P10" s="156"/>
      <c r="Q10" s="156"/>
      <c r="R10" s="202" t="s">
        <v>828</v>
      </c>
      <c r="S10" s="202">
        <f>25*(S8-1)</f>
        <v>50.000000000000014</v>
      </c>
      <c r="U10" s="214" t="s">
        <v>829</v>
      </c>
      <c r="V10" s="221" t="s">
        <v>2488</v>
      </c>
      <c r="W10" s="201">
        <v>5</v>
      </c>
      <c r="X10" s="201">
        <v>4</v>
      </c>
      <c r="Y10" s="201">
        <v>2</v>
      </c>
      <c r="Z10" s="215">
        <f>Y45</f>
        <v>3</v>
      </c>
      <c r="AA10" s="203">
        <v>3</v>
      </c>
    </row>
    <row r="11" spans="1:28" s="166" customFormat="1" ht="18.75" customHeight="1">
      <c r="A11" s="156"/>
      <c r="B11" s="222" t="s">
        <v>830</v>
      </c>
      <c r="C11" s="223"/>
      <c r="D11" s="224" t="str">
        <f>IF(メイン!F12="","",メイン!F12)</f>
        <v>６地域</v>
      </c>
      <c r="E11" s="223"/>
      <c r="F11" s="225"/>
      <c r="G11" s="226"/>
      <c r="H11" s="208" t="s">
        <v>2489</v>
      </c>
      <c r="I11" s="209"/>
      <c r="J11" s="227" t="str">
        <f>メイン!C25</f>
        <v>XXX</v>
      </c>
      <c r="K11" s="228" t="s">
        <v>2490</v>
      </c>
      <c r="L11" s="218"/>
      <c r="M11" s="219"/>
      <c r="N11" s="219"/>
      <c r="O11" s="220"/>
      <c r="P11" s="156"/>
      <c r="Q11" s="156"/>
      <c r="R11" s="202" t="s">
        <v>2491</v>
      </c>
      <c r="S11" s="202">
        <f>25*(5-S9)</f>
        <v>42.15</v>
      </c>
      <c r="U11" s="214" t="s">
        <v>1964</v>
      </c>
      <c r="V11" s="229" t="s">
        <v>2492</v>
      </c>
      <c r="W11" s="201">
        <v>5</v>
      </c>
      <c r="X11" s="201">
        <v>4</v>
      </c>
      <c r="Y11" s="201">
        <v>2</v>
      </c>
      <c r="Z11" s="215">
        <f>Y56</f>
        <v>3</v>
      </c>
      <c r="AA11" s="203">
        <v>3</v>
      </c>
    </row>
    <row r="12" spans="1:28" s="166" customFormat="1" ht="18.75" customHeight="1">
      <c r="A12" s="156"/>
      <c r="B12" s="230" t="s">
        <v>2493</v>
      </c>
      <c r="C12" s="231"/>
      <c r="D12" s="232" t="str">
        <f>メイン!C21</f>
        <v>事務所,</v>
      </c>
      <c r="E12" s="231"/>
      <c r="F12" s="231"/>
      <c r="G12" s="233"/>
      <c r="H12" s="208" t="s">
        <v>2494</v>
      </c>
      <c r="I12" s="234"/>
      <c r="J12" s="210" t="str">
        <f>IF(メイン!E39=0,"",メイン!E39&amp;"評価")</f>
        <v>基本設計段階評価</v>
      </c>
      <c r="K12" s="235"/>
      <c r="L12" s="218"/>
      <c r="M12" s="236" t="s">
        <v>2495</v>
      </c>
      <c r="N12" s="219"/>
      <c r="O12" s="220"/>
      <c r="P12" s="156"/>
      <c r="Q12" s="156"/>
      <c r="R12" s="202" t="s">
        <v>2496</v>
      </c>
      <c r="S12" s="202">
        <f>S10/S11</f>
        <v>1.1862396204033219</v>
      </c>
      <c r="U12" s="214" t="s">
        <v>2613</v>
      </c>
      <c r="V12" s="229" t="s">
        <v>2497</v>
      </c>
      <c r="W12" s="201">
        <v>5</v>
      </c>
      <c r="X12" s="201">
        <v>4</v>
      </c>
      <c r="Y12" s="201">
        <v>2</v>
      </c>
      <c r="Z12" s="215">
        <f>V56</f>
        <v>3</v>
      </c>
      <c r="AA12" s="203">
        <v>3</v>
      </c>
    </row>
    <row r="13" spans="1:28" s="166" customFormat="1" ht="18.75" customHeight="1">
      <c r="A13" s="156"/>
      <c r="B13" s="237" t="s">
        <v>676</v>
      </c>
      <c r="C13" s="238"/>
      <c r="D13" s="2783">
        <f>メイン!C15</f>
        <v>42705</v>
      </c>
      <c r="E13" s="2784"/>
      <c r="F13" s="239">
        <f>メイン!F15</f>
        <v>0</v>
      </c>
      <c r="G13" s="233"/>
      <c r="H13" s="192" t="s">
        <v>677</v>
      </c>
      <c r="I13" s="240"/>
      <c r="J13" s="241">
        <f>IF(メイン!C39=0,"",メイン!C39)</f>
        <v>41828</v>
      </c>
      <c r="K13" s="242"/>
      <c r="L13" s="218"/>
      <c r="M13" s="243" t="s">
        <v>3238</v>
      </c>
      <c r="N13" s="219"/>
      <c r="O13" s="220"/>
      <c r="P13" s="156"/>
      <c r="Q13" s="156"/>
      <c r="R13" s="214" t="s">
        <v>831</v>
      </c>
      <c r="S13" s="244">
        <f>ROUNDDOWN(S12,1)</f>
        <v>1.1000000000000001</v>
      </c>
      <c r="U13" s="214" t="s">
        <v>832</v>
      </c>
      <c r="V13" s="229" t="s">
        <v>833</v>
      </c>
      <c r="W13" s="201">
        <v>5</v>
      </c>
      <c r="X13" s="201">
        <v>4</v>
      </c>
      <c r="Y13" s="201">
        <v>2</v>
      </c>
      <c r="Z13" s="215">
        <f>S56</f>
        <v>3.7</v>
      </c>
      <c r="AA13" s="203">
        <v>3</v>
      </c>
    </row>
    <row r="14" spans="1:28" s="166" customFormat="1" ht="18.75" customHeight="1">
      <c r="A14" s="156"/>
      <c r="B14" s="192" t="s">
        <v>678</v>
      </c>
      <c r="C14" s="245"/>
      <c r="D14" s="246"/>
      <c r="E14" s="247" t="str">
        <f>メイン!C17</f>
        <v>XXX</v>
      </c>
      <c r="F14" s="248" t="s">
        <v>834</v>
      </c>
      <c r="H14" s="192" t="s">
        <v>679</v>
      </c>
      <c r="I14" s="240"/>
      <c r="J14" s="249" t="str">
        <f>IF(メイン!C40=0,"",メイン!C40)</f>
        <v>○○○</v>
      </c>
      <c r="K14" s="242"/>
      <c r="L14" s="218"/>
      <c r="M14" s="243" t="s">
        <v>3239</v>
      </c>
      <c r="N14" s="219"/>
      <c r="O14" s="220"/>
      <c r="P14" s="156"/>
      <c r="Q14" s="156"/>
      <c r="S14" s="250"/>
      <c r="U14" s="214" t="s">
        <v>835</v>
      </c>
      <c r="V14" s="221" t="s">
        <v>680</v>
      </c>
      <c r="W14" s="201">
        <v>5</v>
      </c>
      <c r="X14" s="201">
        <v>4</v>
      </c>
      <c r="Y14" s="201">
        <v>2</v>
      </c>
      <c r="Z14" s="215">
        <f>IF(S45=0,1,S45)</f>
        <v>3</v>
      </c>
      <c r="AA14" s="203">
        <v>3</v>
      </c>
    </row>
    <row r="15" spans="1:28" s="166" customFormat="1" ht="18.75" customHeight="1">
      <c r="A15" s="156"/>
      <c r="B15" s="192" t="s">
        <v>681</v>
      </c>
      <c r="C15" s="245"/>
      <c r="D15" s="246"/>
      <c r="E15" s="247" t="str">
        <f>メイン!C18</f>
        <v>XXX</v>
      </c>
      <c r="F15" s="248" t="s">
        <v>836</v>
      </c>
      <c r="H15" s="192" t="s">
        <v>682</v>
      </c>
      <c r="I15" s="240"/>
      <c r="J15" s="241">
        <f>IF(メイン!C41=0,"",メイン!C41)</f>
        <v>41830</v>
      </c>
      <c r="K15" s="242"/>
      <c r="L15" s="218"/>
      <c r="M15" s="219"/>
      <c r="N15" s="219"/>
      <c r="O15" s="220"/>
      <c r="P15" s="156"/>
      <c r="Q15" s="156"/>
      <c r="R15" s="202" t="s">
        <v>683</v>
      </c>
      <c r="S15" s="251">
        <f>IF(AND($S$10&gt;=50,$S$12&gt;=3),1,IF(S13&lt;0.5,1,IF(S13&lt;1,2,IF(S13&lt;1.5,3,IF(S13&lt;3,4,4))))/5)</f>
        <v>0.6</v>
      </c>
      <c r="V15" s="252"/>
      <c r="Z15" s="252"/>
    </row>
    <row r="16" spans="1:28" s="166" customFormat="1" ht="18" customHeight="1" thickBot="1">
      <c r="A16" s="156"/>
      <c r="B16" s="192" t="s">
        <v>684</v>
      </c>
      <c r="C16" s="245"/>
      <c r="D16" s="246"/>
      <c r="E16" s="253">
        <f>メイン!J66</f>
        <v>3000</v>
      </c>
      <c r="F16" s="254" t="s">
        <v>834</v>
      </c>
      <c r="H16" s="192" t="s">
        <v>685</v>
      </c>
      <c r="I16" s="240"/>
      <c r="J16" s="249" t="str">
        <f>IF(メイン!C42=0,"",メイン!C42)</f>
        <v>○○○</v>
      </c>
      <c r="K16" s="242"/>
      <c r="L16" s="255"/>
      <c r="M16" s="256"/>
      <c r="N16" s="256"/>
      <c r="O16" s="257"/>
      <c r="P16" s="156"/>
      <c r="Q16" s="156"/>
      <c r="R16" s="202" t="s">
        <v>686</v>
      </c>
      <c r="S16" s="258">
        <f>1-S15</f>
        <v>0.4</v>
      </c>
      <c r="T16" s="252"/>
      <c r="U16" s="259"/>
      <c r="V16" s="252"/>
      <c r="W16" s="252"/>
      <c r="X16" s="252"/>
      <c r="Y16" s="252"/>
      <c r="Z16" s="252"/>
      <c r="AA16" s="252"/>
      <c r="AB16" s="252"/>
    </row>
    <row r="17" spans="1:28" s="166" customFormat="1" ht="15" hidden="1" thickBot="1">
      <c r="A17" s="156"/>
      <c r="B17" s="260" t="s">
        <v>687</v>
      </c>
      <c r="L17" s="261" t="s">
        <v>688</v>
      </c>
      <c r="M17" s="262" t="s">
        <v>689</v>
      </c>
      <c r="O17" s="213"/>
      <c r="P17" s="156"/>
      <c r="Q17" s="156"/>
      <c r="R17" s="252"/>
      <c r="S17" s="252"/>
      <c r="T17" s="252"/>
      <c r="U17" s="252"/>
      <c r="V17" s="252"/>
      <c r="W17" s="252"/>
      <c r="X17" s="252"/>
      <c r="Y17" s="252"/>
      <c r="Z17" s="252"/>
      <c r="AA17" s="252"/>
      <c r="AB17" s="252"/>
    </row>
    <row r="18" spans="1:28" s="166" customFormat="1" ht="15" hidden="1" thickBot="1">
      <c r="A18" s="156"/>
      <c r="B18" s="260" t="s">
        <v>690</v>
      </c>
      <c r="C18" s="263"/>
      <c r="F18" s="264"/>
      <c r="G18" s="264"/>
      <c r="L18" s="265"/>
      <c r="M18" s="262" t="s">
        <v>691</v>
      </c>
      <c r="N18" s="264"/>
      <c r="O18" s="266"/>
      <c r="P18" s="156"/>
      <c r="Q18" s="156"/>
      <c r="R18" s="267"/>
      <c r="S18" s="268"/>
      <c r="T18" s="252"/>
      <c r="U18" s="252"/>
      <c r="V18" s="268"/>
      <c r="W18" s="269"/>
      <c r="X18" s="252"/>
      <c r="Y18" s="252"/>
      <c r="Z18" s="252"/>
      <c r="AA18" s="252"/>
      <c r="AB18" s="252"/>
    </row>
    <row r="19" spans="1:28" s="166" customFormat="1" ht="15" hidden="1" thickBot="1">
      <c r="A19" s="156"/>
      <c r="B19" s="270" t="s">
        <v>692</v>
      </c>
      <c r="C19" s="193"/>
      <c r="F19" s="264"/>
      <c r="G19" s="264"/>
      <c r="L19" s="265"/>
      <c r="M19" s="262" t="s">
        <v>693</v>
      </c>
      <c r="N19" s="264"/>
      <c r="O19" s="266"/>
      <c r="P19" s="156"/>
      <c r="Q19" s="156"/>
      <c r="R19" s="267"/>
      <c r="S19" s="268"/>
      <c r="T19" s="252"/>
      <c r="U19" s="252"/>
      <c r="V19" s="268"/>
      <c r="W19" s="269"/>
      <c r="X19" s="252"/>
      <c r="Y19" s="252"/>
      <c r="Z19" s="252"/>
      <c r="AA19" s="252"/>
      <c r="AB19" s="252"/>
    </row>
    <row r="20" spans="1:28" s="166" customFormat="1" ht="15" hidden="1" thickBot="1">
      <c r="A20" s="156"/>
      <c r="B20" s="270" t="s">
        <v>694</v>
      </c>
      <c r="C20" s="216"/>
      <c r="D20" s="271"/>
      <c r="E20" s="271"/>
      <c r="F20" s="272"/>
      <c r="G20" s="272"/>
      <c r="L20" s="273"/>
      <c r="M20" s="274" t="s">
        <v>695</v>
      </c>
      <c r="N20" s="272"/>
      <c r="O20" s="275"/>
      <c r="P20" s="156"/>
      <c r="Q20" s="156"/>
      <c r="R20" s="267"/>
      <c r="S20" s="268"/>
      <c r="T20" s="252"/>
      <c r="U20" s="252"/>
      <c r="V20" s="268"/>
      <c r="W20" s="269"/>
      <c r="X20" s="252"/>
      <c r="Y20" s="252"/>
      <c r="Z20" s="252"/>
      <c r="AA20" s="252"/>
      <c r="AB20" s="252"/>
    </row>
    <row r="21" spans="1:28" s="166" customFormat="1" ht="6.75" customHeight="1" thickBot="1">
      <c r="A21" s="156"/>
      <c r="B21" s="276"/>
      <c r="C21" s="277"/>
      <c r="D21" s="276"/>
      <c r="E21" s="278"/>
      <c r="F21" s="278"/>
      <c r="G21" s="278"/>
      <c r="H21" s="278"/>
      <c r="I21" s="279"/>
      <c r="J21" s="280"/>
      <c r="K21" s="281"/>
      <c r="L21" s="278"/>
      <c r="M21" s="278"/>
      <c r="N21" s="278"/>
      <c r="O21" s="278"/>
      <c r="P21" s="156"/>
      <c r="Q21" s="156"/>
      <c r="R21" s="267"/>
      <c r="S21" s="268"/>
      <c r="T21" s="252"/>
      <c r="U21" s="252"/>
      <c r="V21" s="268"/>
      <c r="W21" s="269"/>
      <c r="X21" s="252"/>
      <c r="Y21" s="252"/>
      <c r="Z21" s="252"/>
      <c r="AA21" s="252"/>
      <c r="AB21" s="252"/>
    </row>
    <row r="22" spans="1:28" s="166" customFormat="1" ht="19.5" thickBot="1">
      <c r="A22" s="156"/>
      <c r="B22" s="282" t="s">
        <v>696</v>
      </c>
      <c r="C22" s="283"/>
      <c r="D22" s="284"/>
      <c r="E22" s="285"/>
      <c r="F22" s="285"/>
      <c r="G22" s="285"/>
      <c r="H22" s="286" t="s">
        <v>697</v>
      </c>
      <c r="I22" s="287"/>
      <c r="J22" s="288"/>
      <c r="K22" s="288"/>
      <c r="L22" s="289" t="s">
        <v>698</v>
      </c>
      <c r="M22" s="283"/>
      <c r="N22" s="284"/>
      <c r="O22" s="285"/>
      <c r="P22" s="156"/>
      <c r="Q22" s="156"/>
      <c r="R22" s="202" t="s">
        <v>837</v>
      </c>
      <c r="S22" s="200" t="s">
        <v>699</v>
      </c>
      <c r="T22" s="200" t="s">
        <v>700</v>
      </c>
      <c r="U22" s="200" t="s">
        <v>701</v>
      </c>
      <c r="AB22" s="252"/>
    </row>
    <row r="23" spans="1:28" s="166" customFormat="1" ht="15" customHeight="1">
      <c r="A23" s="156"/>
      <c r="B23" s="212"/>
      <c r="H23" s="290"/>
      <c r="I23" s="291"/>
      <c r="J23" s="278"/>
      <c r="K23" s="292"/>
      <c r="L23" s="293"/>
      <c r="M23" s="294"/>
      <c r="N23" s="294"/>
      <c r="O23" s="295"/>
      <c r="R23" s="202" t="s">
        <v>702</v>
      </c>
      <c r="S23" s="215"/>
      <c r="T23" s="296">
        <f>S11</f>
        <v>42.15</v>
      </c>
      <c r="U23" s="215">
        <v>0</v>
      </c>
      <c r="V23" s="252"/>
      <c r="W23" s="200" t="s">
        <v>703</v>
      </c>
      <c r="X23" s="200"/>
      <c r="Y23" s="252"/>
      <c r="Z23" s="200" t="s">
        <v>704</v>
      </c>
      <c r="AA23" s="200"/>
      <c r="AB23" s="252"/>
    </row>
    <row r="24" spans="1:28" s="166" customFormat="1" ht="15" customHeight="1">
      <c r="A24" s="156"/>
      <c r="B24" s="297"/>
      <c r="C24" s="298">
        <f>S13</f>
        <v>1.1000000000000001</v>
      </c>
      <c r="H24" s="299"/>
      <c r="I24" s="300"/>
      <c r="J24" s="301"/>
      <c r="K24" s="302"/>
      <c r="L24" s="303"/>
      <c r="M24" s="294"/>
      <c r="N24" s="294"/>
      <c r="O24" s="295"/>
      <c r="R24" s="202" t="s">
        <v>705</v>
      </c>
      <c r="S24" s="215"/>
      <c r="T24" s="296">
        <f>S10</f>
        <v>50.000000000000014</v>
      </c>
      <c r="U24" s="215">
        <v>0</v>
      </c>
      <c r="V24" s="252"/>
      <c r="W24" s="215">
        <v>50</v>
      </c>
      <c r="X24" s="215">
        <v>50</v>
      </c>
      <c r="Y24" s="252"/>
      <c r="Z24" s="215">
        <v>0</v>
      </c>
      <c r="AA24" s="215">
        <v>100</v>
      </c>
      <c r="AB24" s="252"/>
    </row>
    <row r="25" spans="1:28" s="166" customFormat="1" ht="15" customHeight="1">
      <c r="A25" s="156"/>
      <c r="B25" s="212"/>
      <c r="H25" s="299"/>
      <c r="J25" s="301"/>
      <c r="K25" s="302"/>
      <c r="L25" s="303"/>
      <c r="M25" s="294"/>
      <c r="N25" s="294"/>
      <c r="O25" s="295"/>
      <c r="R25" s="215">
        <v>0</v>
      </c>
      <c r="S25" s="200">
        <f>T23</f>
        <v>42.15</v>
      </c>
      <c r="T25" s="304">
        <f>T23</f>
        <v>42.15</v>
      </c>
      <c r="U25" s="200">
        <v>0.1</v>
      </c>
      <c r="V25" s="252"/>
      <c r="W25" s="215">
        <v>0</v>
      </c>
      <c r="X25" s="215">
        <v>100</v>
      </c>
      <c r="Y25" s="252"/>
      <c r="Z25" s="215">
        <v>50</v>
      </c>
      <c r="AA25" s="215">
        <v>50</v>
      </c>
      <c r="AB25" s="252"/>
    </row>
    <row r="26" spans="1:28" s="166" customFormat="1" ht="15" customHeight="1">
      <c r="A26" s="156"/>
      <c r="B26" s="305"/>
      <c r="C26" s="306"/>
      <c r="D26" s="306"/>
      <c r="E26" s="306"/>
      <c r="F26" s="306"/>
      <c r="G26" s="306"/>
      <c r="H26" s="307"/>
      <c r="I26" s="308"/>
      <c r="J26" s="309"/>
      <c r="K26" s="310"/>
      <c r="L26" s="311"/>
      <c r="M26" s="294"/>
      <c r="N26" s="197"/>
      <c r="O26" s="295"/>
      <c r="R26" s="215">
        <v>0</v>
      </c>
      <c r="S26" s="200">
        <v>0</v>
      </c>
      <c r="T26" s="200">
        <f>T24</f>
        <v>50.000000000000014</v>
      </c>
      <c r="U26" s="312">
        <f>T24</f>
        <v>50.000000000000014</v>
      </c>
      <c r="V26" s="252"/>
      <c r="W26" s="252"/>
      <c r="X26" s="252"/>
      <c r="Y26" s="252"/>
      <c r="Z26" s="252"/>
      <c r="AA26" s="252"/>
      <c r="AB26" s="252"/>
    </row>
    <row r="27" spans="1:28" s="166" customFormat="1" ht="15" customHeight="1">
      <c r="A27" s="156"/>
      <c r="B27" s="212"/>
      <c r="H27" s="313" t="str">
        <f>U35</f>
        <v>標準計算</v>
      </c>
      <c r="J27" s="301"/>
      <c r="K27" s="301"/>
      <c r="L27" s="212"/>
      <c r="O27" s="213"/>
      <c r="V27" s="252"/>
      <c r="W27" s="252"/>
      <c r="X27" s="252"/>
      <c r="Y27" s="252"/>
      <c r="Z27" s="252"/>
      <c r="AA27" s="252"/>
      <c r="AB27" s="252"/>
    </row>
    <row r="28" spans="1:28" s="166" customFormat="1" ht="15" customHeight="1">
      <c r="A28" s="156"/>
      <c r="B28" s="212"/>
      <c r="H28" s="212"/>
      <c r="J28" s="301"/>
      <c r="K28" s="302"/>
      <c r="L28" s="314"/>
      <c r="M28" s="315"/>
      <c r="N28" s="316"/>
      <c r="O28" s="317"/>
      <c r="R28" s="318" t="s">
        <v>838</v>
      </c>
      <c r="S28" s="200" t="s">
        <v>839</v>
      </c>
      <c r="T28" s="319">
        <v>0</v>
      </c>
      <c r="U28" s="319">
        <f>100/6</f>
        <v>16.666666666666668</v>
      </c>
      <c r="V28" s="320">
        <f>U28*2</f>
        <v>33.333333333333336</v>
      </c>
      <c r="W28" s="319">
        <f>U28*3</f>
        <v>50</v>
      </c>
      <c r="X28" s="319">
        <f>U28*4</f>
        <v>66.666666666666671</v>
      </c>
      <c r="Y28" s="319">
        <f>U28*5</f>
        <v>83.333333333333343</v>
      </c>
      <c r="Z28" s="319">
        <v>100</v>
      </c>
      <c r="AA28" s="252"/>
      <c r="AB28" s="252"/>
    </row>
    <row r="29" spans="1:28" s="166" customFormat="1" ht="15" customHeight="1">
      <c r="A29" s="156"/>
      <c r="B29" s="212"/>
      <c r="H29" s="212"/>
      <c r="J29" s="301"/>
      <c r="K29" s="302"/>
      <c r="L29" s="314"/>
      <c r="M29" s="315"/>
      <c r="N29" s="316"/>
      <c r="O29" s="317"/>
      <c r="R29" s="318"/>
      <c r="S29" s="200" t="s">
        <v>840</v>
      </c>
      <c r="T29" s="319">
        <v>100</v>
      </c>
      <c r="U29" s="319">
        <v>100</v>
      </c>
      <c r="V29" s="319">
        <v>100</v>
      </c>
      <c r="W29" s="319">
        <v>100</v>
      </c>
      <c r="X29" s="319">
        <v>100</v>
      </c>
      <c r="Y29" s="319">
        <v>100</v>
      </c>
      <c r="Z29" s="319">
        <v>100</v>
      </c>
      <c r="AA29" s="252"/>
      <c r="AB29" s="252"/>
    </row>
    <row r="30" spans="1:28" s="166" customFormat="1" ht="15" customHeight="1">
      <c r="A30" s="156"/>
      <c r="B30" s="212"/>
      <c r="H30" s="212"/>
      <c r="J30" s="301"/>
      <c r="K30" s="302"/>
      <c r="L30" s="321"/>
      <c r="M30" s="322"/>
      <c r="N30" s="323"/>
      <c r="O30" s="324"/>
      <c r="R30" s="318">
        <v>3</v>
      </c>
      <c r="S30" s="200" t="s">
        <v>841</v>
      </c>
      <c r="T30" s="319">
        <v>50</v>
      </c>
      <c r="U30" s="319">
        <f t="shared" ref="U30:V33" si="0">U$28*$R30</f>
        <v>50</v>
      </c>
      <c r="V30" s="319">
        <f t="shared" si="0"/>
        <v>100</v>
      </c>
      <c r="W30" s="319">
        <v>100</v>
      </c>
      <c r="X30" s="319">
        <v>100</v>
      </c>
      <c r="Y30" s="319">
        <v>100</v>
      </c>
      <c r="Z30" s="319">
        <v>100</v>
      </c>
      <c r="AA30" s="252"/>
      <c r="AB30" s="252"/>
    </row>
    <row r="31" spans="1:28" s="166" customFormat="1" ht="15" customHeight="1">
      <c r="A31" s="156"/>
      <c r="B31" s="212"/>
      <c r="H31" s="212"/>
      <c r="J31" s="301"/>
      <c r="K31" s="302"/>
      <c r="L31" s="314"/>
      <c r="M31" s="315"/>
      <c r="N31" s="316"/>
      <c r="O31" s="317"/>
      <c r="R31" s="318">
        <v>1.5</v>
      </c>
      <c r="S31" s="200" t="s">
        <v>842</v>
      </c>
      <c r="T31" s="319">
        <v>0</v>
      </c>
      <c r="U31" s="319">
        <f t="shared" si="0"/>
        <v>25</v>
      </c>
      <c r="V31" s="319">
        <f t="shared" si="0"/>
        <v>50</v>
      </c>
      <c r="W31" s="319">
        <f t="shared" ref="W31:X33" si="1">W$28*$R31</f>
        <v>75</v>
      </c>
      <c r="X31" s="319">
        <f t="shared" si="1"/>
        <v>100</v>
      </c>
      <c r="Y31" s="319">
        <v>100</v>
      </c>
      <c r="Z31" s="319">
        <v>100</v>
      </c>
      <c r="AA31" s="252"/>
      <c r="AB31" s="252"/>
    </row>
    <row r="32" spans="1:28" s="166" customFormat="1" ht="15" customHeight="1">
      <c r="A32" s="156"/>
      <c r="B32" s="212"/>
      <c r="H32" s="212"/>
      <c r="J32" s="301"/>
      <c r="K32" s="302"/>
      <c r="L32" s="314"/>
      <c r="M32" s="315"/>
      <c r="N32" s="316"/>
      <c r="O32" s="317"/>
      <c r="R32" s="318">
        <v>1</v>
      </c>
      <c r="S32" s="200" t="s">
        <v>843</v>
      </c>
      <c r="T32" s="319">
        <v>0</v>
      </c>
      <c r="U32" s="319">
        <f t="shared" si="0"/>
        <v>16.666666666666668</v>
      </c>
      <c r="V32" s="319">
        <f t="shared" si="0"/>
        <v>33.333333333333336</v>
      </c>
      <c r="W32" s="319">
        <f t="shared" si="1"/>
        <v>50</v>
      </c>
      <c r="X32" s="319">
        <f t="shared" si="1"/>
        <v>66.666666666666671</v>
      </c>
      <c r="Y32" s="319">
        <f>Y$28*$R32</f>
        <v>83.333333333333343</v>
      </c>
      <c r="Z32" s="319">
        <f>Z$28*$R32</f>
        <v>100</v>
      </c>
      <c r="AA32" s="252"/>
      <c r="AB32" s="252"/>
    </row>
    <row r="33" spans="1:35" s="166" customFormat="1" ht="15" customHeight="1">
      <c r="A33" s="156"/>
      <c r="B33" s="212"/>
      <c r="H33" s="212"/>
      <c r="J33" s="301"/>
      <c r="K33" s="302"/>
      <c r="L33" s="314"/>
      <c r="M33" s="315"/>
      <c r="N33" s="316"/>
      <c r="O33" s="317"/>
      <c r="R33" s="318">
        <v>0.5</v>
      </c>
      <c r="S33" s="200" t="s">
        <v>844</v>
      </c>
      <c r="T33" s="319">
        <v>0</v>
      </c>
      <c r="U33" s="319">
        <f t="shared" si="0"/>
        <v>8.3333333333333339</v>
      </c>
      <c r="V33" s="319">
        <f t="shared" si="0"/>
        <v>16.666666666666668</v>
      </c>
      <c r="W33" s="319">
        <f t="shared" si="1"/>
        <v>25</v>
      </c>
      <c r="X33" s="319">
        <f t="shared" si="1"/>
        <v>33.333333333333336</v>
      </c>
      <c r="Y33" s="319">
        <f>Y$28*$R33</f>
        <v>41.666666666666671</v>
      </c>
      <c r="Z33" s="319">
        <f>Z$28*$R33</f>
        <v>50</v>
      </c>
      <c r="AA33" s="252"/>
      <c r="AB33" s="252"/>
    </row>
    <row r="34" spans="1:35" s="166" customFormat="1" ht="15" customHeight="1">
      <c r="A34" s="156"/>
      <c r="B34" s="212"/>
      <c r="H34" s="299"/>
      <c r="I34" s="300"/>
      <c r="J34" s="301"/>
      <c r="K34" s="302"/>
      <c r="L34" s="314"/>
      <c r="M34" s="294"/>
      <c r="N34" s="294"/>
      <c r="O34" s="295"/>
      <c r="R34" s="325"/>
      <c r="S34" s="259"/>
      <c r="T34" s="326"/>
      <c r="U34" s="326"/>
      <c r="V34" s="326"/>
      <c r="W34" s="326"/>
      <c r="X34" s="326"/>
      <c r="Y34" s="326"/>
      <c r="Z34" s="326"/>
      <c r="AA34" s="252"/>
      <c r="AB34" s="252"/>
    </row>
    <row r="35" spans="1:35" s="166" customFormat="1" ht="15" customHeight="1">
      <c r="A35" s="264"/>
      <c r="B35" s="212"/>
      <c r="H35" s="327"/>
      <c r="I35" s="328"/>
      <c r="J35" s="328"/>
      <c r="K35" s="329"/>
      <c r="L35" s="314"/>
      <c r="M35" s="294"/>
      <c r="N35" s="330"/>
      <c r="O35" s="295"/>
      <c r="R35" s="202" t="s">
        <v>845</v>
      </c>
      <c r="S35" s="251">
        <f>IF(T35&lt;=0.3,1,IF(T35&lt;=0.6,0.8,IF(T35&lt;=0.8,0.6,IF(T35&lt;=1,0.4,0.2))))</f>
        <v>0.4</v>
      </c>
      <c r="T35" s="326">
        <f>IF(U35=W35,X41,X42)</f>
        <v>0.92655599622476825</v>
      </c>
      <c r="U35" s="331" t="str">
        <f>メイン!C43</f>
        <v>標準計算</v>
      </c>
      <c r="V35" s="332" t="s">
        <v>846</v>
      </c>
      <c r="W35" s="331" t="s">
        <v>506</v>
      </c>
      <c r="X35" s="331" t="s">
        <v>706</v>
      </c>
      <c r="Y35" s="326"/>
      <c r="Z35" s="326"/>
      <c r="AA35" s="252"/>
      <c r="AB35" s="252"/>
    </row>
    <row r="36" spans="1:35" s="166" customFormat="1" ht="15" customHeight="1">
      <c r="A36" s="264"/>
      <c r="B36" s="212"/>
      <c r="H36" s="2793" t="str">
        <f>IF(U35=W35,X35,X36)</f>
        <v>このグラフは、LR3中の「地球温暖化への配慮」の内容を、一般的な建物（参照値）と比べたライフサイクルCO2 排出量の目安で示したものです</v>
      </c>
      <c r="I36" s="2794"/>
      <c r="J36" s="2794"/>
      <c r="K36" s="2795"/>
      <c r="L36" s="314"/>
      <c r="M36" s="294"/>
      <c r="N36" s="333"/>
      <c r="O36" s="295"/>
      <c r="R36" s="202" t="s">
        <v>1557</v>
      </c>
      <c r="S36" s="258">
        <f>1-S35</f>
        <v>0.6</v>
      </c>
      <c r="T36" s="326"/>
      <c r="U36" s="331" t="s">
        <v>2297</v>
      </c>
      <c r="V36" s="326" t="str">
        <f>IF(U35=W36,V35,"")</f>
        <v/>
      </c>
      <c r="W36" s="331" t="s">
        <v>508</v>
      </c>
      <c r="X36" s="331" t="s">
        <v>800</v>
      </c>
      <c r="Y36" s="326"/>
      <c r="Z36" s="326"/>
      <c r="AA36" s="252"/>
      <c r="AB36" s="252"/>
    </row>
    <row r="37" spans="1:35" s="166" customFormat="1" ht="15" customHeight="1">
      <c r="A37" s="264"/>
      <c r="B37" s="212"/>
      <c r="C37" s="334"/>
      <c r="H37" s="2793"/>
      <c r="I37" s="2794"/>
      <c r="J37" s="2794"/>
      <c r="K37" s="2795"/>
      <c r="L37" s="311"/>
      <c r="M37" s="335"/>
      <c r="N37" s="294"/>
      <c r="O37" s="295"/>
      <c r="AA37" s="252"/>
      <c r="AB37" s="252"/>
    </row>
    <row r="38" spans="1:35" s="166" customFormat="1" ht="15" customHeight="1" thickBot="1">
      <c r="A38" s="264"/>
      <c r="B38" s="336"/>
      <c r="C38" s="271"/>
      <c r="D38" s="271"/>
      <c r="E38" s="271"/>
      <c r="F38" s="271"/>
      <c r="G38" s="271"/>
      <c r="H38" s="2796"/>
      <c r="I38" s="2797"/>
      <c r="J38" s="2797"/>
      <c r="K38" s="2798"/>
      <c r="L38" s="337"/>
      <c r="M38" s="338"/>
      <c r="N38" s="339"/>
      <c r="O38" s="340"/>
      <c r="R38" s="341" t="s">
        <v>1558</v>
      </c>
      <c r="S38" s="342" t="s">
        <v>801</v>
      </c>
      <c r="T38" s="342" t="s">
        <v>802</v>
      </c>
      <c r="U38" s="342" t="s">
        <v>803</v>
      </c>
      <c r="V38" s="342" t="s">
        <v>1559</v>
      </c>
      <c r="W38" s="342" t="s">
        <v>1560</v>
      </c>
      <c r="X38" s="342" t="s">
        <v>1561</v>
      </c>
      <c r="Y38" s="199" t="s">
        <v>1562</v>
      </c>
      <c r="AA38" s="331"/>
    </row>
    <row r="39" spans="1:35" s="166" customFormat="1" ht="18" customHeight="1" thickBot="1">
      <c r="A39" s="156"/>
      <c r="B39" s="343" t="s">
        <v>1563</v>
      </c>
      <c r="C39" s="344"/>
      <c r="D39" s="345"/>
      <c r="E39" s="344"/>
      <c r="F39" s="344"/>
      <c r="G39" s="344"/>
      <c r="H39" s="346"/>
      <c r="I39" s="347"/>
      <c r="J39" s="344"/>
      <c r="K39" s="344"/>
      <c r="L39" s="344"/>
      <c r="M39" s="348"/>
      <c r="N39" s="348"/>
      <c r="O39" s="349"/>
      <c r="P39" s="156"/>
      <c r="Q39" s="156"/>
      <c r="R39" s="199" t="s">
        <v>804</v>
      </c>
      <c r="S39" s="350">
        <f>IF($U$35=$W$35,'条件(標準)'!$D9,'条件(個別)'!$D9)</f>
        <v>13.23</v>
      </c>
      <c r="T39" s="350">
        <f>IF($U$35=$W$35,'条件(標準)'!$D34,'条件(個別)'!$D34)</f>
        <v>16.456</v>
      </c>
      <c r="U39" s="350">
        <f>IF($U$35=$W$35,'条件(標準)'!$D46,'条件(個別)'!$D46)</f>
        <v>82.100429508196726</v>
      </c>
      <c r="V39" s="351"/>
      <c r="W39" s="351"/>
      <c r="X39" s="352">
        <v>1</v>
      </c>
      <c r="Y39" s="199">
        <f>IF(COUNTIF(S39:W39,Z40)&gt;0,Z40,SUM(S39:W39))</f>
        <v>111.78642950819673</v>
      </c>
      <c r="AA39" s="353"/>
    </row>
    <row r="40" spans="1:35" s="166" customFormat="1" ht="18.75">
      <c r="A40" s="156"/>
      <c r="B40" s="354" t="s">
        <v>805</v>
      </c>
      <c r="C40" s="355"/>
      <c r="D40" s="355"/>
      <c r="E40" s="356"/>
      <c r="F40" s="355"/>
      <c r="G40" s="355"/>
      <c r="H40" s="355"/>
      <c r="I40" s="355"/>
      <c r="J40" s="355"/>
      <c r="K40" s="357"/>
      <c r="L40" s="358"/>
      <c r="M40" s="359" t="s">
        <v>806</v>
      </c>
      <c r="N40" s="360">
        <f>スコア!Q8</f>
        <v>3</v>
      </c>
      <c r="O40" s="361"/>
      <c r="P40" s="156"/>
      <c r="Q40" s="156"/>
      <c r="R40" s="199" t="s">
        <v>807</v>
      </c>
      <c r="S40" s="350">
        <f>IF($U$35=$W$35,'条件(標準)'!$E9,'条件(個別)'!$E9)</f>
        <v>13.23</v>
      </c>
      <c r="T40" s="350">
        <f>IF($U$35=$W$35,'条件(標準)'!$E34,'条件(個別)'!$E34)</f>
        <v>16.456</v>
      </c>
      <c r="U40" s="350">
        <f>IF($U$35=$W$35,'条件(標準)'!$E46,'条件(個別)'!$E46)</f>
        <v>73.890386557377056</v>
      </c>
      <c r="V40" s="351"/>
      <c r="W40" s="351"/>
      <c r="X40" s="352">
        <f>IF(OR(Y39=Z40,Y40=Z40),Z40,Y40/Y39)</f>
        <v>0.92655599622476825</v>
      </c>
      <c r="Y40" s="199">
        <f>IF(COUNTIF(S40:W40,Z40)&gt;0,Z40,SUM(S40:W40))</f>
        <v>103.57638655737705</v>
      </c>
      <c r="Z40" s="166" t="str">
        <f>CO2計算!R115</f>
        <v>N.A.</v>
      </c>
      <c r="AA40" s="353"/>
    </row>
    <row r="41" spans="1:35" s="166" customFormat="1" ht="15">
      <c r="A41" s="156"/>
      <c r="B41" s="212"/>
      <c r="C41" s="362" t="str">
        <f>スコア!B9&amp;" "&amp;スコア!C9</f>
        <v>Q1 室内環境</v>
      </c>
      <c r="D41" s="363"/>
      <c r="E41" s="363"/>
      <c r="F41" s="363"/>
      <c r="G41" s="363"/>
      <c r="H41" s="363" t="str">
        <f>"     "&amp;スコア!B61&amp;" "&amp;スコア!C61</f>
        <v xml:space="preserve">     Q2 サービス性能</v>
      </c>
      <c r="I41" s="363"/>
      <c r="J41" s="264"/>
      <c r="K41" s="264"/>
      <c r="L41" s="364" t="str">
        <f>スコア!B109&amp;" "&amp;スコア!C109</f>
        <v>Q3 室外環境（敷地内）</v>
      </c>
      <c r="M41" s="364"/>
      <c r="N41" s="264"/>
      <c r="O41" s="266"/>
      <c r="P41" s="156"/>
      <c r="Q41" s="156"/>
      <c r="R41" s="199" t="s">
        <v>808</v>
      </c>
      <c r="S41" s="350"/>
      <c r="T41" s="350"/>
      <c r="U41" s="350"/>
      <c r="V41" s="365">
        <f>IF($U$35=$W$35,'条件(標準)'!E9+'条件(標準)'!E34+'条件(標準)'!E47,'条件(個別)'!E9+'条件(個別)'!E34+'条件(個別)'!E47)</f>
        <v>103.57638655737705</v>
      </c>
      <c r="W41" s="351"/>
      <c r="X41" s="352">
        <f>IF(OR(Y39=Z41,Y41=Z41),Z41,Y41/Y39)</f>
        <v>0.92655599622476825</v>
      </c>
      <c r="Y41" s="199">
        <f>IF(COUNTIF(S41:W41,Z41)&gt;0,Z41,SUM(S41:W41))</f>
        <v>103.57638655737705</v>
      </c>
      <c r="Z41" s="166" t="str">
        <f>CO2計算!R115</f>
        <v>N.A.</v>
      </c>
      <c r="AA41" s="353"/>
    </row>
    <row r="42" spans="1:35" s="166" customFormat="1" ht="15" customHeight="1">
      <c r="A42" s="156"/>
      <c r="B42" s="212"/>
      <c r="C42" s="366"/>
      <c r="D42" s="367"/>
      <c r="E42" s="368"/>
      <c r="G42" s="363">
        <f>S45</f>
        <v>3</v>
      </c>
      <c r="I42" s="368"/>
      <c r="K42" s="363">
        <f>V45</f>
        <v>3</v>
      </c>
      <c r="M42" s="369"/>
      <c r="N42" s="368"/>
      <c r="O42" s="370">
        <f>Y45</f>
        <v>3</v>
      </c>
      <c r="P42" s="156"/>
      <c r="Q42" s="156"/>
      <c r="R42" s="199" t="s">
        <v>809</v>
      </c>
      <c r="S42" s="350"/>
      <c r="T42" s="350"/>
      <c r="U42" s="350"/>
      <c r="V42" s="365"/>
      <c r="W42" s="371">
        <f>IF($U$35=$W$35,'条件(標準)'!E9+'条件(標準)'!E34+'条件(標準)'!E52,'条件(個別)'!E9+'条件(個別)'!E34+'条件(個別)'!E52)</f>
        <v>103.57638655737705</v>
      </c>
      <c r="X42" s="352">
        <f>IF(OR(Y39=Z42,Y42=Z42),Z42,Y42/Y39)</f>
        <v>0.92655599622476825</v>
      </c>
      <c r="Y42" s="199">
        <f>IF(COUNTIF(S42:W42,Z42)&gt;0,Z42,SUM(S42:W42))</f>
        <v>103.57638655737705</v>
      </c>
      <c r="Z42" s="166" t="str">
        <f>CO2計算!R115</f>
        <v>N.A.</v>
      </c>
      <c r="AA42" s="353"/>
    </row>
    <row r="43" spans="1:35" s="166" customFormat="1" ht="15" customHeight="1">
      <c r="A43" s="156"/>
      <c r="B43" s="212"/>
      <c r="G43" s="177"/>
      <c r="H43" s="177"/>
      <c r="I43" s="178"/>
      <c r="J43" s="178"/>
      <c r="K43" s="177"/>
      <c r="L43" s="264"/>
      <c r="M43" s="264"/>
      <c r="N43" s="264"/>
      <c r="O43" s="266"/>
      <c r="P43" s="156"/>
      <c r="Q43" s="156"/>
      <c r="AA43" s="252"/>
      <c r="AB43" s="252"/>
      <c r="AC43" s="372"/>
      <c r="AF43" s="372"/>
      <c r="AG43" s="372"/>
      <c r="AI43" s="372"/>
    </row>
    <row r="44" spans="1:35" s="166" customFormat="1" ht="15" customHeight="1">
      <c r="A44" s="156"/>
      <c r="B44" s="212"/>
      <c r="G44" s="177"/>
      <c r="H44" s="177"/>
      <c r="I44" s="178"/>
      <c r="J44" s="178"/>
      <c r="K44" s="177"/>
      <c r="L44" s="264"/>
      <c r="M44" s="264"/>
      <c r="N44" s="264"/>
      <c r="O44" s="266"/>
      <c r="P44" s="156"/>
      <c r="Q44" s="156"/>
      <c r="R44" s="202"/>
      <c r="S44" s="202" t="s">
        <v>2479</v>
      </c>
      <c r="T44" s="202" t="s">
        <v>810</v>
      </c>
      <c r="U44" s="202"/>
      <c r="V44" s="202" t="s">
        <v>2479</v>
      </c>
      <c r="W44" s="202" t="s">
        <v>810</v>
      </c>
      <c r="X44" s="202"/>
      <c r="Y44" s="202" t="s">
        <v>2479</v>
      </c>
      <c r="Z44" s="202" t="s">
        <v>810</v>
      </c>
      <c r="AA44" s="252"/>
      <c r="AB44" s="252"/>
    </row>
    <row r="45" spans="1:35" s="166" customFormat="1" ht="15" customHeight="1">
      <c r="A45" s="156"/>
      <c r="B45" s="212"/>
      <c r="G45" s="177"/>
      <c r="H45" s="177"/>
      <c r="I45" s="178"/>
      <c r="J45" s="178"/>
      <c r="K45" s="177"/>
      <c r="L45" s="264"/>
      <c r="M45" s="264"/>
      <c r="N45" s="264"/>
      <c r="O45" s="266"/>
      <c r="P45" s="156"/>
      <c r="Q45" s="156"/>
      <c r="R45" s="373" t="s">
        <v>1027</v>
      </c>
      <c r="S45" s="374">
        <f>スコア!Q9</f>
        <v>3</v>
      </c>
      <c r="T45" s="202">
        <f>スコア!Z9</f>
        <v>3</v>
      </c>
      <c r="U45" s="200" t="s">
        <v>1564</v>
      </c>
      <c r="V45" s="375">
        <f>スコア!Q61</f>
        <v>3</v>
      </c>
      <c r="W45" s="202">
        <f>スコア!Z61</f>
        <v>3.0000000000000004</v>
      </c>
      <c r="X45" s="373" t="s">
        <v>1028</v>
      </c>
      <c r="Y45" s="375">
        <f>スコア!Q109</f>
        <v>3</v>
      </c>
      <c r="Z45" s="202">
        <f>スコア!Z109</f>
        <v>3</v>
      </c>
      <c r="AA45" s="252"/>
      <c r="AB45" s="252"/>
    </row>
    <row r="46" spans="1:35" s="166" customFormat="1" ht="15" customHeight="1">
      <c r="A46" s="156"/>
      <c r="B46" s="212"/>
      <c r="G46" s="177"/>
      <c r="H46" s="177"/>
      <c r="I46" s="178"/>
      <c r="J46" s="178"/>
      <c r="K46" s="177"/>
      <c r="L46" s="264"/>
      <c r="M46" s="264"/>
      <c r="N46" s="264"/>
      <c r="O46" s="266"/>
      <c r="P46" s="156"/>
      <c r="Q46" s="156"/>
      <c r="AA46" s="252"/>
      <c r="AB46" s="252"/>
    </row>
    <row r="47" spans="1:35" s="166" customFormat="1" ht="15" customHeight="1">
      <c r="A47" s="156"/>
      <c r="B47" s="212"/>
      <c r="G47" s="177"/>
      <c r="H47" s="177"/>
      <c r="I47" s="178"/>
      <c r="J47" s="178"/>
      <c r="K47" s="177"/>
      <c r="L47" s="264"/>
      <c r="M47" s="264"/>
      <c r="N47" s="264"/>
      <c r="O47" s="266"/>
      <c r="P47" s="156"/>
      <c r="Q47" s="156"/>
      <c r="R47" s="202"/>
      <c r="S47" s="202" t="s">
        <v>1565</v>
      </c>
      <c r="T47" s="202" t="s">
        <v>1566</v>
      </c>
      <c r="U47" s="202"/>
      <c r="V47" s="202" t="s">
        <v>1565</v>
      </c>
      <c r="W47" s="202" t="s">
        <v>1566</v>
      </c>
      <c r="X47" s="202"/>
      <c r="Y47" s="376" t="s">
        <v>1565</v>
      </c>
      <c r="Z47" s="202" t="s">
        <v>1566</v>
      </c>
      <c r="AA47" s="252"/>
      <c r="AB47" s="252"/>
    </row>
    <row r="48" spans="1:35" s="166" customFormat="1" ht="15" customHeight="1">
      <c r="A48" s="156"/>
      <c r="B48" s="212"/>
      <c r="G48" s="377"/>
      <c r="H48" s="377"/>
      <c r="I48" s="178"/>
      <c r="J48" s="178"/>
      <c r="K48" s="177"/>
      <c r="L48" s="264"/>
      <c r="M48" s="264"/>
      <c r="N48" s="264"/>
      <c r="O48" s="266"/>
      <c r="P48" s="156"/>
      <c r="Q48" s="156"/>
      <c r="R48" s="378" t="s">
        <v>1029</v>
      </c>
      <c r="S48" s="374">
        <f>スコア!Q10</f>
        <v>3</v>
      </c>
      <c r="T48" s="202" t="str">
        <f>IF(S48=0,"N.A.","")</f>
        <v/>
      </c>
      <c r="U48" s="200" t="s">
        <v>1030</v>
      </c>
      <c r="V48" s="375">
        <f>スコア!Q62</f>
        <v>3</v>
      </c>
      <c r="W48" s="202" t="str">
        <f t="shared" ref="W48:W50" si="2">IF(V48=0,"N.A.","")</f>
        <v/>
      </c>
      <c r="X48" s="378" t="s">
        <v>1031</v>
      </c>
      <c r="Y48" s="375">
        <f>スコア!Q110</f>
        <v>3</v>
      </c>
      <c r="Z48" s="202" t="str">
        <f t="shared" ref="Z48:Z50" si="3">IF(Y48=0,"N.A.","")</f>
        <v/>
      </c>
      <c r="AA48" s="252"/>
      <c r="AB48" s="252"/>
    </row>
    <row r="49" spans="1:28" s="166" customFormat="1" ht="15" customHeight="1">
      <c r="A49" s="264"/>
      <c r="B49" s="212"/>
      <c r="G49" s="377"/>
      <c r="H49" s="377"/>
      <c r="I49" s="178"/>
      <c r="J49" s="178"/>
      <c r="K49" s="177"/>
      <c r="L49" s="264"/>
      <c r="M49" s="264"/>
      <c r="N49" s="264"/>
      <c r="O49" s="266"/>
      <c r="P49" s="264"/>
      <c r="Q49" s="156"/>
      <c r="R49" s="378" t="s">
        <v>1032</v>
      </c>
      <c r="S49" s="374">
        <f>スコア!Q20</f>
        <v>3</v>
      </c>
      <c r="T49" s="202" t="str">
        <f t="shared" ref="T49:T51" si="4">IF(S49=0,"N.A.","")</f>
        <v/>
      </c>
      <c r="U49" s="200" t="s">
        <v>1033</v>
      </c>
      <c r="V49" s="375">
        <f>スコア!Q75</f>
        <v>3</v>
      </c>
      <c r="W49" s="202" t="str">
        <f t="shared" si="2"/>
        <v/>
      </c>
      <c r="X49" s="378" t="s">
        <v>1567</v>
      </c>
      <c r="Y49" s="375">
        <f>スコア!Q111</f>
        <v>3</v>
      </c>
      <c r="Z49" s="202" t="str">
        <f t="shared" si="3"/>
        <v/>
      </c>
      <c r="AA49" s="252"/>
      <c r="AB49" s="252"/>
    </row>
    <row r="50" spans="1:28" s="166" customFormat="1" ht="15" customHeight="1">
      <c r="A50" s="264"/>
      <c r="B50" s="212"/>
      <c r="G50" s="379"/>
      <c r="H50" s="380"/>
      <c r="I50" s="381"/>
      <c r="J50" s="381"/>
      <c r="K50" s="382"/>
      <c r="L50" s="383"/>
      <c r="M50" s="383"/>
      <c r="N50" s="383"/>
      <c r="O50" s="384"/>
      <c r="P50" s="264"/>
      <c r="Q50" s="156"/>
      <c r="R50" s="378" t="s">
        <v>1034</v>
      </c>
      <c r="S50" s="374">
        <f>スコア!Q34</f>
        <v>3</v>
      </c>
      <c r="T50" s="202" t="str">
        <f t="shared" si="4"/>
        <v/>
      </c>
      <c r="U50" s="200" t="s">
        <v>1035</v>
      </c>
      <c r="V50" s="375">
        <f>スコア!Q97</f>
        <v>3</v>
      </c>
      <c r="W50" s="202" t="str">
        <f t="shared" si="2"/>
        <v/>
      </c>
      <c r="X50" s="378" t="s">
        <v>90</v>
      </c>
      <c r="Y50" s="375">
        <f>スコア!Q112</f>
        <v>3</v>
      </c>
      <c r="Z50" s="202" t="str">
        <f t="shared" si="3"/>
        <v/>
      </c>
      <c r="AA50" s="252"/>
      <c r="AB50" s="252"/>
    </row>
    <row r="51" spans="1:28" s="166" customFormat="1" ht="18" customHeight="1">
      <c r="A51" s="385"/>
      <c r="B51" s="386" t="s">
        <v>1568</v>
      </c>
      <c r="C51" s="387"/>
      <c r="D51" s="388"/>
      <c r="E51" s="387"/>
      <c r="F51" s="387"/>
      <c r="G51" s="387"/>
      <c r="H51" s="355"/>
      <c r="I51" s="355"/>
      <c r="J51" s="355"/>
      <c r="K51" s="357"/>
      <c r="L51" s="358"/>
      <c r="M51" s="359" t="s">
        <v>1569</v>
      </c>
      <c r="N51" s="389">
        <f>スコア!Q116</f>
        <v>3.3</v>
      </c>
      <c r="O51" s="361"/>
      <c r="P51" s="156"/>
      <c r="Q51" s="156"/>
      <c r="R51" s="378" t="s">
        <v>91</v>
      </c>
      <c r="S51" s="374">
        <f>スコア!Q47</f>
        <v>3</v>
      </c>
      <c r="T51" s="202" t="str">
        <f t="shared" si="4"/>
        <v/>
      </c>
      <c r="U51" s="252"/>
      <c r="V51" s="252"/>
      <c r="W51" s="252"/>
      <c r="X51" s="252"/>
      <c r="Y51" s="252"/>
      <c r="Z51" s="252"/>
      <c r="AA51" s="252"/>
      <c r="AB51" s="252"/>
    </row>
    <row r="52" spans="1:28" s="166" customFormat="1" ht="15">
      <c r="A52" s="156"/>
      <c r="B52" s="390"/>
      <c r="C52" s="364" t="str">
        <f>スコア!B117&amp;" "&amp;スコア!C117</f>
        <v>LR1 エネルギー</v>
      </c>
      <c r="D52" s="364"/>
      <c r="E52" s="391"/>
      <c r="F52" s="364"/>
      <c r="G52" s="364"/>
      <c r="H52" s="364" t="str">
        <f>"     "&amp;スコア!B140&amp;" "&amp;スコア!C140</f>
        <v xml:space="preserve">     LR2 資源・マテリアル</v>
      </c>
      <c r="I52" s="364"/>
      <c r="J52" s="364"/>
      <c r="K52" s="364"/>
      <c r="L52" s="362" t="str">
        <f>スコア!B159&amp;" "&amp;スコア!C159</f>
        <v>LR3 敷地外環境</v>
      </c>
      <c r="M52" s="364"/>
      <c r="N52" s="364"/>
      <c r="O52" s="392"/>
      <c r="P52" s="156"/>
      <c r="Q52" s="156"/>
      <c r="R52" s="252"/>
      <c r="S52" s="252"/>
      <c r="T52" s="202"/>
      <c r="U52" s="252"/>
      <c r="V52" s="252"/>
      <c r="W52" s="252"/>
      <c r="X52" s="252"/>
      <c r="Y52" s="252"/>
      <c r="Z52" s="252"/>
      <c r="AA52" s="252"/>
      <c r="AB52" s="252"/>
    </row>
    <row r="53" spans="1:28" s="166" customFormat="1" ht="15">
      <c r="A53" s="264"/>
      <c r="B53" s="393"/>
      <c r="C53" s="366"/>
      <c r="D53" s="367"/>
      <c r="E53" s="368"/>
      <c r="G53" s="363">
        <f>S56</f>
        <v>3.7</v>
      </c>
      <c r="I53" s="368"/>
      <c r="K53" s="363">
        <f>V56</f>
        <v>3</v>
      </c>
      <c r="L53" s="368"/>
      <c r="N53" s="394"/>
      <c r="O53" s="370">
        <f>Y56</f>
        <v>3</v>
      </c>
      <c r="P53" s="264"/>
      <c r="Q53" s="156"/>
      <c r="R53" s="252" t="str">
        <f>IF(S48=0,"N.A.","")</f>
        <v/>
      </c>
      <c r="S53" s="252"/>
      <c r="T53" s="252"/>
      <c r="U53" s="252"/>
      <c r="V53" s="252"/>
      <c r="W53" s="252"/>
      <c r="X53" s="252"/>
      <c r="Y53" s="252"/>
      <c r="Z53" s="252"/>
      <c r="AA53" s="252"/>
      <c r="AB53" s="252"/>
    </row>
    <row r="54" spans="1:28" s="166" customFormat="1" ht="14.25">
      <c r="A54" s="264"/>
      <c r="B54" s="393"/>
      <c r="C54" s="395"/>
      <c r="D54" s="395"/>
      <c r="E54" s="396"/>
      <c r="F54" s="379"/>
      <c r="G54" s="379"/>
      <c r="H54" s="379"/>
      <c r="I54" s="178"/>
      <c r="J54" s="178"/>
      <c r="K54" s="177"/>
      <c r="L54" s="177"/>
      <c r="M54" s="197"/>
      <c r="N54" s="197"/>
      <c r="O54" s="198"/>
      <c r="P54" s="264"/>
      <c r="Q54" s="156"/>
      <c r="AA54" s="252"/>
      <c r="AB54" s="252"/>
    </row>
    <row r="55" spans="1:28" s="166" customFormat="1" ht="15.75" customHeight="1">
      <c r="A55" s="156"/>
      <c r="B55" s="393"/>
      <c r="C55" s="197"/>
      <c r="D55" s="397"/>
      <c r="E55" s="176"/>
      <c r="F55" s="177"/>
      <c r="G55" s="177"/>
      <c r="H55" s="177"/>
      <c r="I55" s="398"/>
      <c r="J55" s="178"/>
      <c r="K55" s="177"/>
      <c r="L55" s="177"/>
      <c r="M55" s="197"/>
      <c r="N55" s="197"/>
      <c r="O55" s="198"/>
      <c r="P55" s="156"/>
      <c r="Q55" s="156"/>
      <c r="R55" s="202"/>
      <c r="S55" s="202" t="s">
        <v>1570</v>
      </c>
      <c r="T55" s="202" t="s">
        <v>1571</v>
      </c>
      <c r="U55" s="202"/>
      <c r="V55" s="202" t="s">
        <v>1570</v>
      </c>
      <c r="W55" s="202" t="s">
        <v>1571</v>
      </c>
      <c r="X55" s="202"/>
      <c r="Y55" s="202" t="s">
        <v>1570</v>
      </c>
      <c r="Z55" s="202" t="s">
        <v>1571</v>
      </c>
      <c r="AA55" s="252"/>
      <c r="AB55" s="252"/>
    </row>
    <row r="56" spans="1:28" s="166" customFormat="1" ht="15.75" customHeight="1">
      <c r="A56" s="156"/>
      <c r="B56" s="393"/>
      <c r="C56" s="174"/>
      <c r="D56" s="175"/>
      <c r="E56" s="176"/>
      <c r="F56" s="177"/>
      <c r="G56" s="177"/>
      <c r="H56" s="177"/>
      <c r="I56" s="398"/>
      <c r="J56" s="178"/>
      <c r="K56" s="177"/>
      <c r="L56" s="177"/>
      <c r="M56" s="197"/>
      <c r="N56" s="197"/>
      <c r="O56" s="198"/>
      <c r="P56" s="156"/>
      <c r="Q56" s="156"/>
      <c r="R56" s="200" t="s">
        <v>1572</v>
      </c>
      <c r="S56" s="375">
        <f>スコア!Q117</f>
        <v>3.7</v>
      </c>
      <c r="T56" s="202">
        <f>スコア!Z117</f>
        <v>3.7</v>
      </c>
      <c r="U56" s="200" t="s">
        <v>92</v>
      </c>
      <c r="V56" s="399">
        <f>スコア!Q140</f>
        <v>3</v>
      </c>
      <c r="W56" s="202">
        <f>スコア!Z140</f>
        <v>3.0466666666666669</v>
      </c>
      <c r="X56" s="200" t="s">
        <v>2610</v>
      </c>
      <c r="Y56" s="375">
        <f>スコア!Q159</f>
        <v>3</v>
      </c>
      <c r="Z56" s="202">
        <f>スコア!Z159</f>
        <v>3.0666666666666664</v>
      </c>
      <c r="AA56" s="252"/>
      <c r="AB56" s="252"/>
    </row>
    <row r="57" spans="1:28" s="166" customFormat="1" ht="15.75" customHeight="1">
      <c r="A57" s="156"/>
      <c r="B57" s="400"/>
      <c r="C57" s="174"/>
      <c r="D57" s="175"/>
      <c r="E57" s="176"/>
      <c r="F57" s="177"/>
      <c r="G57" s="177"/>
      <c r="H57" s="177"/>
      <c r="I57" s="398"/>
      <c r="J57" s="178"/>
      <c r="K57" s="177"/>
      <c r="L57" s="177"/>
      <c r="M57" s="197"/>
      <c r="N57" s="197"/>
      <c r="O57" s="198"/>
      <c r="P57" s="156"/>
      <c r="Q57" s="156"/>
      <c r="Y57" s="401"/>
      <c r="AA57" s="252"/>
      <c r="AB57" s="252"/>
    </row>
    <row r="58" spans="1:28" s="166" customFormat="1" ht="15.75" customHeight="1">
      <c r="A58" s="156"/>
      <c r="B58" s="400"/>
      <c r="C58" s="174"/>
      <c r="D58" s="175"/>
      <c r="E58" s="176"/>
      <c r="F58" s="177"/>
      <c r="G58" s="177"/>
      <c r="H58" s="177"/>
      <c r="I58" s="398"/>
      <c r="J58" s="178"/>
      <c r="K58" s="177"/>
      <c r="L58" s="177"/>
      <c r="M58" s="197"/>
      <c r="N58" s="197"/>
      <c r="O58" s="198"/>
      <c r="P58" s="156"/>
      <c r="Q58" s="156"/>
      <c r="R58" s="202"/>
      <c r="S58" s="202" t="s">
        <v>1573</v>
      </c>
      <c r="T58" s="202" t="s">
        <v>1574</v>
      </c>
      <c r="U58" s="202"/>
      <c r="V58" s="202" t="s">
        <v>1573</v>
      </c>
      <c r="W58" s="202" t="s">
        <v>1574</v>
      </c>
      <c r="X58" s="202"/>
      <c r="Y58" s="376" t="s">
        <v>1573</v>
      </c>
      <c r="Z58" s="202" t="s">
        <v>1574</v>
      </c>
      <c r="AA58" s="252"/>
      <c r="AB58" s="252"/>
    </row>
    <row r="59" spans="1:28" s="166" customFormat="1" ht="15.75" customHeight="1">
      <c r="A59" s="156"/>
      <c r="B59" s="400"/>
      <c r="C59" s="174"/>
      <c r="D59" s="175"/>
      <c r="E59" s="176"/>
      <c r="F59" s="177"/>
      <c r="G59" s="177"/>
      <c r="H59" s="177"/>
      <c r="I59" s="398"/>
      <c r="J59" s="178"/>
      <c r="K59" s="177"/>
      <c r="L59" s="177"/>
      <c r="M59" s="197"/>
      <c r="N59" s="197"/>
      <c r="O59" s="198"/>
      <c r="P59" s="156"/>
      <c r="Q59" s="156"/>
      <c r="R59" s="200" t="s">
        <v>2611</v>
      </c>
      <c r="S59" s="402">
        <f>スコア!Q118</f>
        <v>4</v>
      </c>
      <c r="T59" s="202" t="str">
        <f t="shared" ref="T59:T62" si="5">IF(S59=0,"N.A.","")</f>
        <v/>
      </c>
      <c r="U59" s="403" t="s">
        <v>2612</v>
      </c>
      <c r="V59" s="375">
        <f>スコア!Q141</f>
        <v>3</v>
      </c>
      <c r="W59" s="202" t="str">
        <f t="shared" ref="W59:W61" si="6">IF(V59=0,"N.A.","")</f>
        <v/>
      </c>
      <c r="X59" s="200" t="s">
        <v>2880</v>
      </c>
      <c r="Y59" s="375">
        <f>スコア!Q160</f>
        <v>3.2</v>
      </c>
      <c r="Z59" s="202" t="str">
        <f>IF(Y59=0,"N.A.","")</f>
        <v/>
      </c>
      <c r="AA59" s="252"/>
      <c r="AB59" s="252"/>
    </row>
    <row r="60" spans="1:28" s="166" customFormat="1" ht="15.75" customHeight="1">
      <c r="A60" s="156"/>
      <c r="B60" s="400"/>
      <c r="C60" s="174"/>
      <c r="D60" s="175"/>
      <c r="E60" s="176"/>
      <c r="F60" s="177"/>
      <c r="G60" s="177"/>
      <c r="H60" s="177"/>
      <c r="I60" s="398"/>
      <c r="J60" s="178"/>
      <c r="K60" s="177"/>
      <c r="L60" s="177"/>
      <c r="M60" s="197"/>
      <c r="N60" s="197"/>
      <c r="O60" s="198"/>
      <c r="P60" s="156"/>
      <c r="Q60" s="156"/>
      <c r="R60" s="200" t="s">
        <v>2881</v>
      </c>
      <c r="S60" s="402">
        <f>スコア!Q119</f>
        <v>3</v>
      </c>
      <c r="T60" s="202" t="str">
        <f t="shared" si="5"/>
        <v/>
      </c>
      <c r="U60" s="403" t="s">
        <v>2882</v>
      </c>
      <c r="V60" s="375">
        <f>スコア!Q146</f>
        <v>3</v>
      </c>
      <c r="W60" s="202" t="str">
        <f t="shared" si="6"/>
        <v/>
      </c>
      <c r="X60" s="200" t="s">
        <v>2883</v>
      </c>
      <c r="Y60" s="375">
        <f>スコア!Q161</f>
        <v>3</v>
      </c>
      <c r="Z60" s="202" t="str">
        <f t="shared" ref="Z60:Z61" si="7">IF(Y60=0,"N.A.","")</f>
        <v/>
      </c>
      <c r="AA60" s="252"/>
      <c r="AB60" s="252"/>
    </row>
    <row r="61" spans="1:28" s="166" customFormat="1" ht="15.75" customHeight="1" thickBot="1">
      <c r="A61" s="156"/>
      <c r="B61" s="404"/>
      <c r="C61" s="405"/>
      <c r="D61" s="406"/>
      <c r="E61" s="405"/>
      <c r="F61" s="407"/>
      <c r="G61" s="407"/>
      <c r="H61" s="407"/>
      <c r="I61" s="408"/>
      <c r="J61" s="272"/>
      <c r="K61" s="272"/>
      <c r="L61" s="272"/>
      <c r="M61" s="409"/>
      <c r="N61" s="409"/>
      <c r="O61" s="410"/>
      <c r="P61" s="156"/>
      <c r="Q61" s="156"/>
      <c r="R61" s="200" t="s">
        <v>2884</v>
      </c>
      <c r="S61" s="402">
        <f>スコア!Q124</f>
        <v>4</v>
      </c>
      <c r="T61" s="202" t="str">
        <f t="shared" si="5"/>
        <v/>
      </c>
      <c r="U61" s="411" t="s">
        <v>2885</v>
      </c>
      <c r="V61" s="412">
        <f>スコア!Q153</f>
        <v>3.2</v>
      </c>
      <c r="W61" s="202" t="str">
        <f t="shared" si="6"/>
        <v/>
      </c>
      <c r="X61" s="200" t="s">
        <v>2886</v>
      </c>
      <c r="Y61" s="375">
        <f>スコア!Q169</f>
        <v>3</v>
      </c>
      <c r="Z61" s="202" t="str">
        <f t="shared" si="7"/>
        <v/>
      </c>
      <c r="AA61" s="252"/>
      <c r="AB61" s="252"/>
    </row>
    <row r="62" spans="1:28" s="166" customFormat="1" ht="6" customHeight="1" thickBot="1">
      <c r="A62" s="156"/>
      <c r="B62" s="413"/>
      <c r="C62" s="398"/>
      <c r="D62" s="414"/>
      <c r="E62" s="176"/>
      <c r="F62" s="177"/>
      <c r="G62" s="177"/>
      <c r="H62" s="177"/>
      <c r="I62" s="178"/>
      <c r="J62" s="178"/>
      <c r="K62" s="177"/>
      <c r="L62" s="177"/>
      <c r="M62" s="197"/>
      <c r="N62" s="197"/>
      <c r="O62" s="197"/>
      <c r="P62" s="156"/>
      <c r="Q62" s="264"/>
      <c r="R62" s="200" t="s">
        <v>2887</v>
      </c>
      <c r="S62" s="402">
        <f>スコア!Q133</f>
        <v>3</v>
      </c>
      <c r="T62" s="202" t="str">
        <f t="shared" si="5"/>
        <v/>
      </c>
      <c r="U62" s="252"/>
      <c r="V62" s="415"/>
      <c r="W62" s="415"/>
      <c r="X62" s="415"/>
      <c r="Y62" s="415"/>
      <c r="Z62" s="415"/>
      <c r="AA62" s="252"/>
      <c r="AB62" s="252"/>
    </row>
    <row r="63" spans="1:28" s="166" customFormat="1" ht="15.75">
      <c r="A63" s="156"/>
      <c r="B63" s="282" t="s">
        <v>2888</v>
      </c>
      <c r="C63" s="416"/>
      <c r="D63" s="417"/>
      <c r="E63" s="416"/>
      <c r="F63" s="416"/>
      <c r="G63" s="416"/>
      <c r="H63" s="418"/>
      <c r="I63" s="419"/>
      <c r="J63" s="416"/>
      <c r="K63" s="416"/>
      <c r="L63" s="416"/>
      <c r="M63" s="420"/>
      <c r="N63" s="420"/>
      <c r="O63" s="421"/>
      <c r="P63" s="156"/>
      <c r="Q63" s="264"/>
      <c r="R63" s="252"/>
      <c r="S63" s="252"/>
      <c r="T63" s="252"/>
      <c r="U63" s="252"/>
      <c r="V63" s="415"/>
      <c r="W63" s="415"/>
      <c r="X63" s="415"/>
      <c r="Y63" s="415"/>
      <c r="Z63" s="415"/>
      <c r="AA63" s="252"/>
      <c r="AB63" s="252"/>
    </row>
    <row r="64" spans="1:28" s="166" customFormat="1" ht="14.25">
      <c r="A64" s="156"/>
      <c r="B64" s="422" t="s">
        <v>2889</v>
      </c>
      <c r="C64" s="423"/>
      <c r="D64" s="424"/>
      <c r="E64" s="423"/>
      <c r="F64" s="423"/>
      <c r="G64" s="423"/>
      <c r="H64" s="423"/>
      <c r="I64" s="423"/>
      <c r="J64" s="423"/>
      <c r="K64" s="425"/>
      <c r="L64" s="426" t="s">
        <v>2890</v>
      </c>
      <c r="M64" s="427"/>
      <c r="N64" s="427"/>
      <c r="O64" s="428"/>
      <c r="P64" s="156"/>
      <c r="Q64" s="264"/>
      <c r="R64" s="429"/>
      <c r="S64" s="252"/>
      <c r="T64" s="252"/>
      <c r="U64" s="252"/>
      <c r="V64" s="415"/>
      <c r="W64" s="415"/>
      <c r="X64" s="415"/>
      <c r="Y64" s="415"/>
      <c r="Z64" s="415"/>
      <c r="AA64" s="252"/>
      <c r="AB64" s="252"/>
    </row>
    <row r="65" spans="1:28" s="166" customFormat="1" ht="52.5" customHeight="1">
      <c r="A65" s="156"/>
      <c r="B65" s="2785" t="str">
        <f>IF(配慮!C4=0,"",配慮!C4)</f>
        <v>注）　設計における総合的なコンセプトを簡潔に記載してください。
　</v>
      </c>
      <c r="C65" s="2786"/>
      <c r="D65" s="2786"/>
      <c r="E65" s="2786"/>
      <c r="F65" s="2786"/>
      <c r="G65" s="2786"/>
      <c r="H65" s="2786"/>
      <c r="I65" s="2786"/>
      <c r="J65" s="2786"/>
      <c r="K65" s="2787"/>
      <c r="L65" s="2788" t="str">
        <f>配慮!C11</f>
        <v>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5" s="2789"/>
      <c r="N65" s="2789"/>
      <c r="O65" s="2790"/>
      <c r="P65" s="156"/>
      <c r="Q65" s="264"/>
      <c r="R65" s="252"/>
      <c r="S65" s="252"/>
      <c r="T65" s="252"/>
      <c r="U65" s="252"/>
      <c r="V65" s="415"/>
      <c r="W65" s="415"/>
      <c r="X65" s="415"/>
      <c r="Y65" s="415"/>
      <c r="Z65" s="415"/>
      <c r="AA65" s="252"/>
      <c r="AB65" s="252"/>
    </row>
    <row r="66" spans="1:28" s="166" customFormat="1" ht="15">
      <c r="A66" s="156"/>
      <c r="B66" s="430" t="str">
        <f>配慮!B5</f>
        <v>Q1 
室内環境</v>
      </c>
      <c r="C66" s="427"/>
      <c r="D66" s="427"/>
      <c r="E66" s="427"/>
      <c r="F66" s="427"/>
      <c r="G66" s="431"/>
      <c r="H66" s="432" t="str">
        <f>配慮!B6</f>
        <v>Q2 
サービス性能</v>
      </c>
      <c r="I66" s="433"/>
      <c r="J66" s="433"/>
      <c r="K66" s="434"/>
      <c r="L66" s="435" t="str">
        <f>配慮!B7</f>
        <v>Q3 
室外環境（敷地内）</v>
      </c>
      <c r="M66" s="436"/>
      <c r="N66" s="437"/>
      <c r="O66" s="438"/>
      <c r="P66" s="156"/>
      <c r="Q66" s="264"/>
      <c r="R66" s="252"/>
      <c r="S66" s="252"/>
      <c r="T66" s="252"/>
      <c r="U66" s="252"/>
      <c r="V66" s="252"/>
      <c r="W66" s="252"/>
      <c r="X66" s="252"/>
      <c r="Y66" s="252"/>
      <c r="Z66" s="252"/>
      <c r="AA66" s="252"/>
      <c r="AB66" s="252"/>
    </row>
    <row r="67" spans="1:28" s="166" customFormat="1" ht="50.25" customHeight="1">
      <c r="A67" s="156"/>
      <c r="B67" s="2791" t="str">
        <f>IF(配慮!C5=0,"",配慮!C5)</f>
        <v>注）　「Q1　室内環境」に対する配慮事項を簡潔に記載してください。</v>
      </c>
      <c r="C67" s="2789"/>
      <c r="D67" s="2789"/>
      <c r="E67" s="2789"/>
      <c r="F67" s="2789"/>
      <c r="G67" s="2792"/>
      <c r="H67" s="2799" t="str">
        <f>IF(配慮!C6=0,"",配慮!C6)</f>
        <v>注）　「Q2　サービス性能」に対する配慮事項を簡潔に記載してください。</v>
      </c>
      <c r="I67" s="2789"/>
      <c r="J67" s="2789"/>
      <c r="K67" s="2792"/>
      <c r="L67" s="2799" t="str">
        <f>IF(配慮!C7=0,"",配慮!C7)</f>
        <v>注）　「Q3　室外環境（敷地内）」に対する配慮事項を簡潔に記載してください。</v>
      </c>
      <c r="M67" s="2789"/>
      <c r="N67" s="2789"/>
      <c r="O67" s="2790"/>
      <c r="P67" s="156"/>
      <c r="Q67" s="264"/>
      <c r="R67" s="252"/>
      <c r="S67" s="252"/>
      <c r="T67" s="252"/>
      <c r="U67" s="252"/>
      <c r="V67" s="252"/>
      <c r="W67" s="252"/>
      <c r="X67" s="252"/>
      <c r="Y67" s="252"/>
      <c r="Z67" s="252"/>
      <c r="AA67" s="252"/>
      <c r="AB67" s="252"/>
    </row>
    <row r="68" spans="1:28" s="166" customFormat="1" ht="15">
      <c r="A68" s="156"/>
      <c r="B68" s="439" t="str">
        <f>配慮!B8</f>
        <v>LR1 
エネルギー</v>
      </c>
      <c r="C68" s="440"/>
      <c r="D68" s="424"/>
      <c r="E68" s="424"/>
      <c r="F68" s="424"/>
      <c r="G68" s="441"/>
      <c r="H68" s="442" t="str">
        <f>配慮!B9</f>
        <v>LR2 
資源・マテリアル</v>
      </c>
      <c r="I68" s="427"/>
      <c r="J68" s="427"/>
      <c r="K68" s="431"/>
      <c r="L68" s="443" t="str">
        <f>配慮!B10</f>
        <v>LR3 
敷地外環境</v>
      </c>
      <c r="M68" s="440"/>
      <c r="N68" s="424"/>
      <c r="O68" s="444"/>
      <c r="P68" s="156"/>
      <c r="Q68" s="264"/>
      <c r="R68" s="252"/>
      <c r="S68" s="252"/>
      <c r="T68" s="252"/>
      <c r="U68" s="252"/>
      <c r="V68" s="252"/>
      <c r="W68" s="252"/>
      <c r="X68" s="252"/>
      <c r="Y68" s="252"/>
      <c r="Z68" s="252"/>
      <c r="AA68" s="252"/>
      <c r="AB68" s="252"/>
    </row>
    <row r="69" spans="1:28" s="166" customFormat="1" ht="61.5" customHeight="1" thickBot="1">
      <c r="A69" s="156"/>
      <c r="B69" s="2778" t="str">
        <f>IF(配慮!C8=0,"",配慮!C8)</f>
        <v>注）　「LR1　エネルギー」に対する配慮事項を簡潔に記載してください。</v>
      </c>
      <c r="C69" s="2779"/>
      <c r="D69" s="2779"/>
      <c r="E69" s="2779"/>
      <c r="F69" s="2779"/>
      <c r="G69" s="2780"/>
      <c r="H69" s="2781" t="str">
        <f>IF(配慮!C9=0,"",配慮!C9)</f>
        <v>注）　「LR2　資源・マテリアル」に対する配慮事項を簡潔に記載してください。</v>
      </c>
      <c r="I69" s="2779"/>
      <c r="J69" s="2779"/>
      <c r="K69" s="2780"/>
      <c r="L69" s="2781" t="str">
        <f>IF(配慮!C10=0,"",配慮!C10)</f>
        <v>注）　「LR3　敷地外環境」に対する配慮事項を簡潔に記載してください。</v>
      </c>
      <c r="M69" s="2779"/>
      <c r="N69" s="2779"/>
      <c r="O69" s="2782"/>
      <c r="P69" s="156"/>
      <c r="Q69" s="264"/>
      <c r="R69" s="252"/>
      <c r="S69" s="252"/>
      <c r="T69" s="252"/>
      <c r="U69" s="252"/>
      <c r="V69" s="252"/>
      <c r="W69" s="252"/>
      <c r="X69" s="252"/>
      <c r="Y69" s="252"/>
      <c r="Z69" s="252"/>
      <c r="AA69" s="252"/>
      <c r="AB69" s="252"/>
    </row>
    <row r="70" spans="1:28" s="166" customFormat="1" ht="8.25" customHeight="1">
      <c r="A70" s="156"/>
      <c r="B70" s="156"/>
      <c r="C70" s="156"/>
      <c r="D70" s="156"/>
      <c r="E70" s="156"/>
      <c r="F70" s="156"/>
      <c r="G70" s="156"/>
      <c r="H70" s="156"/>
      <c r="I70" s="156"/>
      <c r="J70" s="156"/>
      <c r="K70" s="156"/>
      <c r="L70" s="156"/>
      <c r="M70" s="156"/>
      <c r="N70" s="156"/>
      <c r="O70" s="156"/>
      <c r="P70" s="156"/>
      <c r="Q70" s="156"/>
      <c r="R70" s="252"/>
      <c r="S70" s="252"/>
      <c r="T70" s="252"/>
      <c r="U70" s="252"/>
      <c r="V70" s="252"/>
      <c r="W70" s="252"/>
      <c r="X70" s="252"/>
      <c r="Y70" s="252"/>
      <c r="Z70" s="252"/>
      <c r="AA70" s="252"/>
      <c r="AB70" s="252"/>
    </row>
    <row r="71" spans="1:28" s="166" customFormat="1" ht="16.5" hidden="1" thickBot="1">
      <c r="A71" s="156"/>
      <c r="B71" s="445" t="s">
        <v>2891</v>
      </c>
      <c r="C71" s="446"/>
      <c r="D71" s="447"/>
      <c r="E71" s="446"/>
      <c r="F71" s="446"/>
      <c r="G71" s="446"/>
      <c r="H71" s="446"/>
      <c r="I71" s="446"/>
      <c r="J71" s="448"/>
      <c r="K71" s="449"/>
      <c r="L71" s="449"/>
      <c r="M71" s="449"/>
      <c r="N71" s="450"/>
      <c r="O71" s="451" t="s">
        <v>2892</v>
      </c>
      <c r="P71" s="156"/>
      <c r="Q71" s="156"/>
      <c r="R71" s="252"/>
      <c r="S71" s="252"/>
      <c r="T71" s="252"/>
      <c r="U71" s="252"/>
      <c r="V71" s="252"/>
      <c r="W71" s="252"/>
      <c r="X71" s="252"/>
      <c r="Y71" s="252"/>
      <c r="Z71" s="252"/>
      <c r="AA71" s="252"/>
      <c r="AB71" s="252"/>
    </row>
    <row r="72" spans="1:28" s="166" customFormat="1" ht="15.75" hidden="1">
      <c r="A72" s="156"/>
      <c r="B72" s="452" t="s">
        <v>1448</v>
      </c>
      <c r="C72" s="453"/>
      <c r="D72" s="454"/>
      <c r="E72" s="453"/>
      <c r="F72" s="453"/>
      <c r="G72" s="453"/>
      <c r="H72" s="453"/>
      <c r="I72" s="453"/>
      <c r="J72" s="455"/>
      <c r="K72" s="456"/>
      <c r="L72" s="457"/>
      <c r="M72" s="457"/>
      <c r="N72" s="455"/>
      <c r="O72" s="458" t="s">
        <v>2065</v>
      </c>
      <c r="P72" s="156"/>
      <c r="Q72" s="156"/>
      <c r="R72" s="252"/>
      <c r="S72" s="252"/>
      <c r="T72" s="252"/>
      <c r="U72" s="252"/>
      <c r="V72" s="252"/>
      <c r="W72" s="252"/>
      <c r="X72" s="252"/>
      <c r="Y72" s="252"/>
      <c r="Z72" s="252"/>
      <c r="AA72" s="252"/>
      <c r="AB72" s="252"/>
    </row>
    <row r="73" spans="1:28" s="166" customFormat="1" ht="14.25" hidden="1">
      <c r="A73" s="156"/>
      <c r="B73" s="459"/>
      <c r="C73" s="460"/>
      <c r="D73" s="461"/>
      <c r="E73" s="462" t="s">
        <v>1449</v>
      </c>
      <c r="F73" s="463"/>
      <c r="G73" s="463"/>
      <c r="H73" s="462" t="s">
        <v>581</v>
      </c>
      <c r="I73" s="463"/>
      <c r="J73" s="462" t="s">
        <v>1048</v>
      </c>
      <c r="K73" s="464"/>
      <c r="L73" s="462" t="s">
        <v>1049</v>
      </c>
      <c r="M73" s="463"/>
      <c r="N73" s="463"/>
      <c r="O73" s="465" t="s">
        <v>1050</v>
      </c>
      <c r="P73" s="156"/>
      <c r="Q73" s="156"/>
      <c r="R73" s="252"/>
      <c r="S73" s="252"/>
      <c r="T73" s="252"/>
      <c r="U73" s="252"/>
      <c r="V73" s="252"/>
      <c r="W73" s="252"/>
      <c r="X73" s="252"/>
      <c r="Y73" s="252"/>
      <c r="Z73" s="252"/>
      <c r="AA73" s="252"/>
      <c r="AB73" s="252"/>
    </row>
    <row r="74" spans="1:28" s="166" customFormat="1" ht="14.25" hidden="1">
      <c r="A74" s="156"/>
      <c r="B74" s="466"/>
      <c r="C74" s="467" t="s">
        <v>1051</v>
      </c>
      <c r="D74" s="468"/>
      <c r="E74" s="469"/>
      <c r="F74" s="470" t="s">
        <v>1052</v>
      </c>
      <c r="G74" s="471"/>
      <c r="H74" s="469"/>
      <c r="I74" s="470" t="s">
        <v>1053</v>
      </c>
      <c r="J74" s="472"/>
      <c r="K74" s="470" t="s">
        <v>1052</v>
      </c>
      <c r="L74" s="473"/>
      <c r="M74" s="474"/>
      <c r="N74" s="475"/>
      <c r="O74" s="476"/>
      <c r="P74" s="156"/>
      <c r="Q74" s="156"/>
      <c r="R74" s="252"/>
      <c r="S74" s="252"/>
      <c r="T74" s="252"/>
      <c r="U74" s="252"/>
      <c r="V74" s="252"/>
      <c r="W74" s="252"/>
      <c r="X74" s="252"/>
      <c r="Y74" s="252"/>
      <c r="Z74" s="252"/>
      <c r="AA74" s="252"/>
      <c r="AB74" s="252"/>
    </row>
    <row r="75" spans="1:28" s="166" customFormat="1" ht="15.75" hidden="1">
      <c r="A75" s="156"/>
      <c r="B75" s="466"/>
      <c r="C75" s="477" t="s">
        <v>1054</v>
      </c>
      <c r="D75" s="478"/>
      <c r="E75" s="479"/>
      <c r="F75" s="379" t="s">
        <v>1055</v>
      </c>
      <c r="G75" s="379"/>
      <c r="H75" s="479"/>
      <c r="I75" s="379" t="s">
        <v>1056</v>
      </c>
      <c r="J75" s="480"/>
      <c r="K75" s="379" t="s">
        <v>1055</v>
      </c>
      <c r="L75" s="481"/>
      <c r="N75" s="482"/>
      <c r="O75" s="483"/>
      <c r="P75" s="156"/>
      <c r="Q75" s="156"/>
      <c r="W75" s="252"/>
      <c r="X75" s="252"/>
      <c r="Y75" s="252"/>
      <c r="Z75" s="252"/>
      <c r="AA75" s="252"/>
      <c r="AB75" s="252"/>
    </row>
    <row r="76" spans="1:28" s="166" customFormat="1" ht="14.25" hidden="1">
      <c r="A76" s="484"/>
      <c r="B76" s="485"/>
      <c r="C76" s="486" t="s">
        <v>1057</v>
      </c>
      <c r="D76" s="478"/>
      <c r="E76" s="479"/>
      <c r="F76" s="471" t="s">
        <v>1058</v>
      </c>
      <c r="G76" s="471"/>
      <c r="H76" s="479"/>
      <c r="I76" s="471" t="s">
        <v>1059</v>
      </c>
      <c r="J76" s="480"/>
      <c r="K76" s="471" t="s">
        <v>1058</v>
      </c>
      <c r="L76" s="481"/>
      <c r="N76" s="487"/>
      <c r="O76" s="483"/>
      <c r="P76" s="484"/>
      <c r="Q76" s="156"/>
      <c r="W76" s="252"/>
      <c r="X76" s="252"/>
      <c r="Y76" s="252"/>
      <c r="Z76" s="252"/>
      <c r="AA76" s="252"/>
      <c r="AB76" s="252"/>
    </row>
    <row r="77" spans="1:28" s="166" customFormat="1" ht="15.75" hidden="1">
      <c r="A77" s="156"/>
      <c r="B77" s="466"/>
      <c r="C77" s="488" t="s">
        <v>1060</v>
      </c>
      <c r="D77" s="478"/>
      <c r="E77" s="479"/>
      <c r="F77" s="379" t="s">
        <v>1055</v>
      </c>
      <c r="G77" s="379"/>
      <c r="H77" s="479"/>
      <c r="I77" s="379" t="s">
        <v>1056</v>
      </c>
      <c r="J77" s="480"/>
      <c r="K77" s="379" t="s">
        <v>1055</v>
      </c>
      <c r="L77" s="481"/>
      <c r="N77" s="482"/>
      <c r="O77" s="489"/>
      <c r="P77" s="156"/>
      <c r="Q77" s="156"/>
      <c r="W77" s="252"/>
      <c r="X77" s="252"/>
      <c r="Y77" s="252"/>
      <c r="Z77" s="252"/>
      <c r="AA77" s="252"/>
      <c r="AB77" s="252"/>
    </row>
    <row r="78" spans="1:28" s="166" customFormat="1" ht="14.25" hidden="1">
      <c r="A78" s="156"/>
      <c r="B78" s="466"/>
      <c r="C78" s="488" t="s">
        <v>1061</v>
      </c>
      <c r="D78" s="478"/>
      <c r="E78" s="479"/>
      <c r="F78" s="490" t="s">
        <v>1062</v>
      </c>
      <c r="G78" s="379"/>
      <c r="H78" s="479"/>
      <c r="I78" s="490" t="s">
        <v>1063</v>
      </c>
      <c r="J78" s="480"/>
      <c r="K78" s="490" t="s">
        <v>1062</v>
      </c>
      <c r="L78" s="481"/>
      <c r="N78" s="482"/>
      <c r="O78" s="198"/>
      <c r="P78" s="156"/>
      <c r="Q78" s="156"/>
      <c r="W78" s="252"/>
      <c r="X78" s="252"/>
      <c r="Y78" s="252"/>
      <c r="Z78" s="252"/>
      <c r="AA78" s="252"/>
      <c r="AB78" s="252"/>
    </row>
    <row r="79" spans="1:28" s="166" customFormat="1" ht="14.25" hidden="1">
      <c r="A79" s="156"/>
      <c r="B79" s="466"/>
      <c r="C79" s="488" t="s">
        <v>1064</v>
      </c>
      <c r="D79" s="478"/>
      <c r="E79" s="479"/>
      <c r="F79" s="490" t="s">
        <v>1062</v>
      </c>
      <c r="G79" s="379"/>
      <c r="H79" s="479"/>
      <c r="I79" s="490" t="s">
        <v>1063</v>
      </c>
      <c r="J79" s="480"/>
      <c r="K79" s="490" t="s">
        <v>1062</v>
      </c>
      <c r="L79" s="481"/>
      <c r="N79" s="482"/>
      <c r="O79" s="483"/>
      <c r="P79" s="156"/>
      <c r="Q79" s="156"/>
      <c r="W79" s="252"/>
      <c r="X79" s="252"/>
      <c r="Y79" s="252"/>
      <c r="Z79" s="252"/>
      <c r="AA79" s="252"/>
      <c r="AB79" s="252"/>
    </row>
    <row r="80" spans="1:28" s="166" customFormat="1" ht="15" hidden="1" thickBot="1">
      <c r="A80" s="156"/>
      <c r="B80" s="491"/>
      <c r="C80" s="492"/>
      <c r="D80" s="493"/>
      <c r="E80" s="494"/>
      <c r="F80" s="495"/>
      <c r="G80" s="405"/>
      <c r="H80" s="494"/>
      <c r="I80" s="495"/>
      <c r="J80" s="496"/>
      <c r="K80" s="495"/>
      <c r="L80" s="481"/>
      <c r="N80" s="497"/>
      <c r="O80" s="498"/>
      <c r="P80" s="156"/>
      <c r="Q80" s="156"/>
      <c r="W80" s="252"/>
      <c r="X80" s="252"/>
      <c r="Y80" s="252"/>
      <c r="Z80" s="252"/>
      <c r="AA80" s="252"/>
      <c r="AB80" s="252"/>
    </row>
    <row r="81" spans="1:47" s="166" customFormat="1" ht="16.5" hidden="1" thickBot="1">
      <c r="A81" s="156"/>
      <c r="B81" s="499" t="s">
        <v>1065</v>
      </c>
      <c r="C81" s="500"/>
      <c r="D81" s="501"/>
      <c r="E81" s="502"/>
      <c r="F81" s="503"/>
      <c r="G81" s="503"/>
      <c r="H81" s="503"/>
      <c r="I81" s="503"/>
      <c r="J81" s="503"/>
      <c r="K81" s="503"/>
      <c r="L81" s="503"/>
      <c r="M81" s="503"/>
      <c r="N81" s="503"/>
      <c r="O81" s="504"/>
      <c r="P81" s="156"/>
      <c r="Q81" s="156"/>
      <c r="W81" s="252"/>
      <c r="X81" s="252"/>
      <c r="Y81" s="252"/>
      <c r="Z81" s="252"/>
      <c r="AA81" s="252"/>
      <c r="AB81" s="252"/>
    </row>
    <row r="82" spans="1:47" s="166" customFormat="1" ht="15.75" hidden="1">
      <c r="A82" s="156"/>
      <c r="B82" s="505" t="s">
        <v>1066</v>
      </c>
      <c r="C82" s="506"/>
      <c r="D82" s="507"/>
      <c r="E82" s="508"/>
      <c r="F82" s="509"/>
      <c r="G82" s="509"/>
      <c r="H82" s="509"/>
      <c r="I82" s="507"/>
      <c r="J82" s="510" t="s">
        <v>1067</v>
      </c>
      <c r="K82" s="511"/>
      <c r="L82" s="512"/>
      <c r="M82" s="506"/>
      <c r="N82" s="506"/>
      <c r="O82" s="513"/>
      <c r="P82" s="156"/>
      <c r="Q82" s="156"/>
      <c r="W82" s="252"/>
      <c r="X82" s="252"/>
      <c r="Y82" s="252"/>
      <c r="Z82" s="252"/>
      <c r="AA82" s="252"/>
      <c r="AB82" s="252"/>
    </row>
    <row r="83" spans="1:47" s="166" customFormat="1" ht="15" hidden="1">
      <c r="A83" s="156"/>
      <c r="B83" s="514"/>
      <c r="C83" s="515" t="s">
        <v>1068</v>
      </c>
      <c r="D83" s="516"/>
      <c r="E83" s="516"/>
      <c r="F83" s="516"/>
      <c r="G83" s="516"/>
      <c r="H83" s="516"/>
      <c r="I83" s="516"/>
      <c r="J83" s="517" t="s">
        <v>1069</v>
      </c>
      <c r="L83" s="518"/>
      <c r="M83" s="294"/>
      <c r="N83" s="294"/>
      <c r="O83" s="295"/>
      <c r="P83" s="156"/>
      <c r="Q83" s="156"/>
      <c r="W83" s="252"/>
      <c r="X83" s="252"/>
      <c r="Y83" s="252"/>
      <c r="Z83" s="252"/>
      <c r="AA83" s="252"/>
      <c r="AB83" s="252"/>
    </row>
    <row r="84" spans="1:47" s="166" customFormat="1" ht="15" hidden="1">
      <c r="A84" s="156"/>
      <c r="B84" s="514"/>
      <c r="C84" s="515"/>
      <c r="D84" s="516"/>
      <c r="E84" s="516"/>
      <c r="F84" s="516"/>
      <c r="G84" s="516"/>
      <c r="H84" s="516"/>
      <c r="I84" s="516"/>
      <c r="J84" s="517"/>
      <c r="L84" s="518"/>
      <c r="M84" s="294"/>
      <c r="N84" s="294"/>
      <c r="O84" s="295"/>
      <c r="P84" s="156"/>
      <c r="Q84" s="156"/>
      <c r="W84" s="252"/>
      <c r="X84" s="252"/>
      <c r="Y84" s="252"/>
      <c r="Z84" s="252"/>
      <c r="AA84" s="252"/>
      <c r="AB84" s="252"/>
    </row>
    <row r="85" spans="1:47" s="166" customFormat="1" ht="15" hidden="1" thickBot="1">
      <c r="A85" s="156"/>
      <c r="B85" s="519"/>
      <c r="C85" s="520"/>
      <c r="D85" s="521"/>
      <c r="E85" s="521"/>
      <c r="F85" s="521"/>
      <c r="G85" s="521"/>
      <c r="H85" s="521"/>
      <c r="I85" s="521"/>
      <c r="J85" s="522"/>
      <c r="K85" s="271"/>
      <c r="L85" s="523"/>
      <c r="M85" s="523"/>
      <c r="N85" s="523"/>
      <c r="O85" s="524"/>
      <c r="P85" s="156"/>
      <c r="Q85" s="156"/>
      <c r="W85" s="165"/>
      <c r="X85" s="165"/>
      <c r="Y85" s="165"/>
      <c r="Z85" s="165"/>
      <c r="AA85" s="165"/>
      <c r="AB85" s="165"/>
    </row>
    <row r="86" spans="1:47" ht="14.25" hidden="1">
      <c r="B86" s="379"/>
      <c r="C86" s="379"/>
      <c r="D86" s="395"/>
      <c r="E86" s="379"/>
      <c r="F86" s="177"/>
      <c r="G86" s="177"/>
      <c r="H86" s="177"/>
      <c r="I86" s="178"/>
      <c r="J86" s="178"/>
      <c r="K86" s="177"/>
      <c r="L86" s="177"/>
      <c r="M86" s="197"/>
      <c r="N86" s="197"/>
      <c r="O86" s="197"/>
      <c r="S86" s="166"/>
      <c r="W86" s="165"/>
      <c r="X86" s="165"/>
      <c r="Y86" s="165"/>
      <c r="Z86" s="165"/>
      <c r="AA86" s="165"/>
      <c r="AB86" s="165"/>
      <c r="AC86" s="166"/>
      <c r="AD86" s="166"/>
      <c r="AE86" s="166"/>
      <c r="AF86" s="166"/>
      <c r="AG86" s="166"/>
      <c r="AH86" s="166"/>
      <c r="AI86" s="166"/>
      <c r="AJ86" s="166"/>
      <c r="AK86" s="166"/>
      <c r="AL86" s="166"/>
      <c r="AM86" s="166"/>
      <c r="AN86" s="166"/>
      <c r="AO86" s="166"/>
      <c r="AP86" s="166"/>
      <c r="AQ86" s="166"/>
      <c r="AR86" s="166"/>
      <c r="AS86" s="166"/>
      <c r="AT86" s="166"/>
      <c r="AU86" s="166"/>
    </row>
    <row r="87" spans="1:47" ht="14.25" hidden="1">
      <c r="B87" s="526"/>
      <c r="C87" s="527"/>
      <c r="D87" s="528"/>
      <c r="E87" s="529"/>
      <c r="F87" s="529"/>
      <c r="G87" s="529"/>
      <c r="H87" s="529"/>
      <c r="I87" s="530"/>
      <c r="J87" s="531"/>
      <c r="K87" s="530"/>
      <c r="L87" s="532"/>
      <c r="M87" s="530"/>
      <c r="N87" s="533"/>
      <c r="O87" s="534"/>
      <c r="R87" s="165"/>
      <c r="S87" s="165"/>
      <c r="T87" s="165"/>
      <c r="U87" s="165"/>
      <c r="V87" s="165"/>
      <c r="W87" s="165"/>
      <c r="X87" s="165"/>
      <c r="Y87" s="165"/>
      <c r="Z87" s="165"/>
      <c r="AA87" s="165"/>
      <c r="AB87" s="165"/>
      <c r="AC87" s="166"/>
      <c r="AD87" s="166"/>
      <c r="AE87" s="166"/>
      <c r="AF87" s="166"/>
      <c r="AG87" s="166"/>
      <c r="AH87" s="166"/>
      <c r="AI87" s="166"/>
      <c r="AJ87" s="166"/>
      <c r="AK87" s="166"/>
      <c r="AL87" s="166"/>
      <c r="AM87" s="166"/>
      <c r="AN87" s="166"/>
      <c r="AO87" s="166"/>
      <c r="AP87" s="166"/>
      <c r="AQ87" s="166"/>
      <c r="AR87" s="166"/>
      <c r="AS87" s="166"/>
      <c r="AT87" s="166"/>
      <c r="AU87" s="166"/>
    </row>
    <row r="88" spans="1:47" ht="14.25" hidden="1">
      <c r="B88" s="535"/>
      <c r="C88" s="536" t="s">
        <v>1070</v>
      </c>
      <c r="D88" s="537" t="s">
        <v>2066</v>
      </c>
      <c r="E88" s="538" t="s">
        <v>2067</v>
      </c>
      <c r="G88" s="166"/>
      <c r="H88" s="538" t="s">
        <v>2068</v>
      </c>
      <c r="J88" s="541" t="s">
        <v>2069</v>
      </c>
      <c r="L88" s="541" t="s">
        <v>2070</v>
      </c>
      <c r="N88" s="543" t="s">
        <v>2071</v>
      </c>
      <c r="O88" s="544"/>
      <c r="R88" s="165"/>
      <c r="S88" s="165"/>
      <c r="T88" s="165"/>
      <c r="U88" s="165"/>
      <c r="V88" s="165"/>
      <c r="W88" s="165"/>
      <c r="X88" s="165"/>
      <c r="Y88" s="165"/>
      <c r="Z88" s="165"/>
      <c r="AA88" s="165"/>
      <c r="AB88" s="165"/>
      <c r="AC88" s="166"/>
      <c r="AD88" s="166"/>
      <c r="AE88" s="166"/>
      <c r="AF88" s="166"/>
      <c r="AG88" s="166"/>
      <c r="AH88" s="166"/>
      <c r="AI88" s="166"/>
      <c r="AJ88" s="166"/>
      <c r="AK88" s="166"/>
      <c r="AL88" s="166"/>
      <c r="AM88" s="166"/>
      <c r="AN88" s="166"/>
      <c r="AO88" s="166"/>
      <c r="AP88" s="166"/>
      <c r="AQ88" s="166"/>
      <c r="AR88" s="166"/>
      <c r="AS88" s="166"/>
      <c r="AT88" s="166"/>
      <c r="AU88" s="166"/>
    </row>
    <row r="89" spans="1:47" ht="14.25" hidden="1">
      <c r="A89" s="264"/>
      <c r="B89" s="535"/>
      <c r="C89" s="536" t="s">
        <v>3021</v>
      </c>
      <c r="D89" s="545" t="s">
        <v>2822</v>
      </c>
      <c r="E89" s="546"/>
      <c r="F89" s="547"/>
      <c r="G89" s="547"/>
      <c r="H89" s="547"/>
      <c r="I89" s="548"/>
      <c r="J89" s="548"/>
      <c r="K89" s="549"/>
      <c r="L89" s="549"/>
      <c r="M89" s="197"/>
      <c r="N89" s="197"/>
      <c r="O89" s="550"/>
      <c r="P89" s="264"/>
      <c r="Q89" s="264"/>
    </row>
    <row r="90" spans="1:47" ht="14.25" hidden="1">
      <c r="B90" s="552"/>
      <c r="C90" s="536" t="s">
        <v>2823</v>
      </c>
      <c r="D90" s="553" t="s">
        <v>2824</v>
      </c>
      <c r="E90" s="554"/>
      <c r="G90" s="555"/>
      <c r="O90" s="550"/>
    </row>
    <row r="91" spans="1:47" ht="14.25" hidden="1">
      <c r="B91" s="552"/>
      <c r="C91" s="536"/>
      <c r="D91" s="553" t="s">
        <v>2825</v>
      </c>
      <c r="E91" s="554"/>
      <c r="G91" s="555"/>
      <c r="O91" s="550"/>
    </row>
    <row r="92" spans="1:47" ht="14.25" hidden="1">
      <c r="B92" s="556"/>
      <c r="C92" s="557" t="s">
        <v>2826</v>
      </c>
      <c r="D92" s="558" t="s">
        <v>2072</v>
      </c>
      <c r="E92" s="559"/>
      <c r="F92" s="560"/>
      <c r="G92" s="561"/>
      <c r="H92" s="560"/>
      <c r="I92" s="562"/>
      <c r="J92" s="562"/>
      <c r="K92" s="560"/>
      <c r="L92" s="560"/>
      <c r="M92" s="563"/>
      <c r="N92" s="563"/>
      <c r="O92" s="564"/>
    </row>
    <row r="93" spans="1:47" ht="14.25">
      <c r="G93" s="555"/>
      <c r="O93" s="197"/>
    </row>
    <row r="94" spans="1:47" ht="14.25">
      <c r="G94" s="555"/>
      <c r="L94" s="555"/>
      <c r="M94" s="197"/>
      <c r="O94" s="197"/>
    </row>
    <row r="95" spans="1:47" ht="14.25">
      <c r="E95" s="542"/>
      <c r="F95" s="566"/>
      <c r="G95" s="555"/>
      <c r="H95" s="555"/>
      <c r="I95" s="549"/>
      <c r="L95" s="555"/>
      <c r="M95" s="197"/>
      <c r="O95" s="197"/>
    </row>
    <row r="96" spans="1:47" ht="14.25">
      <c r="C96" s="567"/>
      <c r="D96" s="397"/>
      <c r="E96" s="542"/>
      <c r="F96" s="566"/>
      <c r="G96" s="555"/>
      <c r="H96" s="555"/>
      <c r="I96" s="549"/>
      <c r="J96" s="549"/>
      <c r="K96" s="555"/>
      <c r="L96" s="555"/>
      <c r="M96" s="197"/>
      <c r="O96" s="197"/>
    </row>
    <row r="97" spans="2:15" ht="14.25">
      <c r="B97" s="568"/>
      <c r="C97" s="569"/>
      <c r="D97" s="570"/>
      <c r="E97" s="542"/>
      <c r="F97" s="566"/>
      <c r="G97" s="547"/>
      <c r="H97" s="547"/>
      <c r="I97" s="548"/>
      <c r="J97" s="548"/>
      <c r="K97" s="549"/>
      <c r="L97" s="549"/>
      <c r="M97" s="197"/>
      <c r="O97" s="197"/>
    </row>
    <row r="98" spans="2:15" ht="14.25" hidden="1">
      <c r="B98" s="568"/>
      <c r="C98" s="568"/>
      <c r="D98" s="571"/>
      <c r="G98" s="547"/>
      <c r="H98" s="547"/>
      <c r="I98" s="548"/>
      <c r="J98" s="548"/>
      <c r="K98" s="549"/>
      <c r="L98" s="549"/>
      <c r="M98" s="197"/>
      <c r="N98" s="197"/>
      <c r="O98" s="197"/>
    </row>
    <row r="99" spans="2:15" ht="14.25" hidden="1">
      <c r="E99" s="176"/>
      <c r="F99" s="177"/>
      <c r="G99" s="177"/>
      <c r="H99" s="177"/>
      <c r="I99" s="178"/>
      <c r="J99" s="178"/>
      <c r="K99" s="177"/>
      <c r="L99" s="177"/>
      <c r="M99" s="197"/>
      <c r="N99" s="197"/>
      <c r="O99" s="197"/>
    </row>
    <row r="100" spans="2:15" ht="14.25" hidden="1">
      <c r="E100" s="176"/>
      <c r="F100" s="177"/>
      <c r="G100" s="177"/>
      <c r="H100" s="177"/>
      <c r="I100" s="178"/>
      <c r="J100" s="178"/>
      <c r="K100" s="177"/>
      <c r="L100" s="177"/>
      <c r="M100" s="197"/>
      <c r="N100" s="197"/>
      <c r="O100" s="197"/>
    </row>
    <row r="101" spans="2:15" ht="14.25" hidden="1">
      <c r="E101" s="176"/>
      <c r="F101" s="177"/>
      <c r="G101" s="177"/>
      <c r="H101" s="177"/>
      <c r="I101" s="178"/>
      <c r="J101" s="178"/>
      <c r="K101" s="177"/>
      <c r="L101" s="177"/>
      <c r="M101" s="197"/>
      <c r="N101" s="197"/>
      <c r="O101" s="197"/>
    </row>
    <row r="102" spans="2:15" ht="14.25" hidden="1">
      <c r="E102" s="176"/>
      <c r="F102" s="177"/>
      <c r="G102" s="177"/>
      <c r="H102" s="177"/>
      <c r="I102" s="178"/>
      <c r="J102" s="178"/>
      <c r="K102" s="177"/>
      <c r="L102" s="177"/>
      <c r="M102" s="197"/>
      <c r="N102" s="197"/>
      <c r="O102" s="197"/>
    </row>
    <row r="103" spans="2:15" ht="14.25" hidden="1">
      <c r="E103" s="176"/>
      <c r="F103" s="177"/>
      <c r="G103" s="177"/>
      <c r="H103" s="177"/>
      <c r="I103" s="178"/>
      <c r="J103" s="178"/>
      <c r="K103" s="177"/>
      <c r="L103" s="177"/>
      <c r="M103" s="197"/>
      <c r="N103" s="197"/>
      <c r="O103" s="197"/>
    </row>
    <row r="104" spans="2:15" ht="14.25" hidden="1">
      <c r="E104" s="176"/>
      <c r="F104" s="177"/>
      <c r="G104" s="177"/>
      <c r="H104" s="177"/>
      <c r="I104" s="178"/>
      <c r="J104" s="178"/>
      <c r="K104" s="177"/>
      <c r="L104" s="177"/>
      <c r="M104" s="197"/>
      <c r="N104" s="197"/>
      <c r="O104" s="197"/>
    </row>
    <row r="105" spans="2:15" ht="14.25" hidden="1">
      <c r="E105" s="176"/>
      <c r="F105" s="177"/>
      <c r="G105" s="177"/>
      <c r="H105" s="177"/>
      <c r="I105" s="178"/>
      <c r="J105" s="178"/>
      <c r="K105" s="177"/>
      <c r="L105" s="177"/>
      <c r="M105" s="197"/>
      <c r="N105" s="197"/>
      <c r="O105" s="197"/>
    </row>
    <row r="106" spans="2:15" ht="14.25" hidden="1">
      <c r="E106" s="176"/>
      <c r="F106" s="177"/>
      <c r="G106" s="177"/>
      <c r="H106" s="177"/>
      <c r="I106" s="178"/>
      <c r="J106" s="178"/>
      <c r="K106" s="177"/>
      <c r="L106" s="177"/>
      <c r="M106" s="197"/>
      <c r="N106" s="197"/>
      <c r="O106" s="197"/>
    </row>
    <row r="107" spans="2:15" ht="14.25" hidden="1">
      <c r="E107" s="176"/>
      <c r="F107" s="177"/>
      <c r="G107" s="177"/>
      <c r="H107" s="177"/>
      <c r="I107" s="178"/>
      <c r="J107" s="178"/>
      <c r="K107" s="177"/>
      <c r="L107" s="177"/>
      <c r="M107" s="197"/>
      <c r="N107" s="197"/>
      <c r="O107" s="197"/>
    </row>
    <row r="108" spans="2:15" ht="14.25" hidden="1">
      <c r="E108" s="176"/>
      <c r="F108" s="177"/>
      <c r="G108" s="177"/>
      <c r="H108" s="177"/>
      <c r="I108" s="178"/>
      <c r="J108" s="178"/>
      <c r="K108" s="177"/>
      <c r="L108" s="177"/>
      <c r="M108" s="197"/>
      <c r="N108" s="197"/>
      <c r="O108" s="197"/>
    </row>
    <row r="109" spans="2:15" ht="14.25" hidden="1">
      <c r="E109" s="176"/>
      <c r="F109" s="177"/>
      <c r="G109" s="177"/>
      <c r="H109" s="177"/>
      <c r="I109" s="178"/>
      <c r="J109" s="178"/>
      <c r="K109" s="177"/>
      <c r="L109" s="177"/>
      <c r="M109" s="197"/>
      <c r="N109" s="197"/>
      <c r="O109" s="197"/>
    </row>
    <row r="110" spans="2:15" ht="14.25" hidden="1">
      <c r="E110" s="176"/>
      <c r="F110" s="177"/>
      <c r="G110" s="177"/>
      <c r="H110" s="177"/>
      <c r="I110" s="178"/>
      <c r="J110" s="178"/>
      <c r="K110" s="177"/>
      <c r="L110" s="177"/>
      <c r="M110" s="197"/>
      <c r="N110" s="197"/>
      <c r="O110" s="197"/>
    </row>
    <row r="111" spans="2:15" ht="14.25" hidden="1">
      <c r="E111" s="176"/>
      <c r="F111" s="177"/>
      <c r="G111" s="177"/>
      <c r="H111" s="177"/>
      <c r="I111" s="178"/>
      <c r="J111" s="178"/>
      <c r="K111" s="177"/>
      <c r="L111" s="177"/>
      <c r="M111" s="197"/>
      <c r="N111" s="197"/>
      <c r="O111" s="197"/>
    </row>
    <row r="112" spans="2:15" ht="14.25" hidden="1">
      <c r="E112" s="176"/>
      <c r="F112" s="177"/>
      <c r="G112" s="177"/>
      <c r="H112" s="177"/>
      <c r="I112" s="178"/>
      <c r="J112" s="178"/>
      <c r="K112" s="177"/>
      <c r="L112" s="177"/>
      <c r="M112" s="197"/>
      <c r="N112" s="197"/>
      <c r="O112" s="197"/>
    </row>
    <row r="113" spans="5:15" ht="14.25" hidden="1">
      <c r="E113" s="176"/>
      <c r="F113" s="177"/>
      <c r="G113" s="177"/>
      <c r="H113" s="177"/>
      <c r="I113" s="178"/>
      <c r="J113" s="178"/>
      <c r="K113" s="177"/>
      <c r="L113" s="177"/>
      <c r="M113" s="197"/>
      <c r="N113" s="197"/>
      <c r="O113" s="197"/>
    </row>
    <row r="114" spans="5:15" ht="14.25" hidden="1">
      <c r="E114" s="176"/>
      <c r="F114" s="177"/>
      <c r="G114" s="177"/>
      <c r="H114" s="177"/>
      <c r="I114" s="178"/>
      <c r="J114" s="178"/>
      <c r="K114" s="177"/>
      <c r="L114" s="177"/>
      <c r="M114" s="197"/>
      <c r="N114" s="197"/>
      <c r="O114" s="197"/>
    </row>
    <row r="115" spans="5:15" ht="14.25" hidden="1">
      <c r="E115" s="176"/>
      <c r="F115" s="177"/>
      <c r="G115" s="177"/>
      <c r="H115" s="177"/>
      <c r="I115" s="178"/>
      <c r="J115" s="178"/>
      <c r="K115" s="177"/>
      <c r="L115" s="177"/>
      <c r="M115" s="197"/>
      <c r="N115" s="197"/>
      <c r="O115" s="197"/>
    </row>
    <row r="116" spans="5:15" ht="14.25" hidden="1">
      <c r="E116" s="176"/>
      <c r="F116" s="177"/>
      <c r="G116" s="177"/>
      <c r="H116" s="177"/>
      <c r="I116" s="178"/>
      <c r="J116" s="178"/>
      <c r="K116" s="177"/>
      <c r="L116" s="177"/>
      <c r="M116" s="197"/>
      <c r="N116" s="197"/>
      <c r="O116" s="197"/>
    </row>
    <row r="117" spans="5:15" ht="14.25" hidden="1">
      <c r="E117" s="176"/>
      <c r="F117" s="177"/>
      <c r="G117" s="177"/>
      <c r="H117" s="177"/>
      <c r="I117" s="178"/>
      <c r="J117" s="178"/>
      <c r="K117" s="177"/>
      <c r="L117" s="177"/>
      <c r="M117" s="197"/>
      <c r="N117" s="197"/>
      <c r="O117" s="197"/>
    </row>
    <row r="118" spans="5:15" ht="14.25" hidden="1">
      <c r="E118" s="176"/>
      <c r="F118" s="177"/>
      <c r="G118" s="177"/>
      <c r="H118" s="177"/>
      <c r="I118" s="178"/>
      <c r="J118" s="178"/>
      <c r="K118" s="177"/>
      <c r="L118" s="177"/>
      <c r="M118" s="197"/>
      <c r="N118" s="197"/>
      <c r="O118" s="197"/>
    </row>
    <row r="119" spans="5:15" ht="14.25" hidden="1">
      <c r="E119" s="176"/>
      <c r="F119" s="177"/>
      <c r="G119" s="177"/>
      <c r="H119" s="177"/>
      <c r="I119" s="178"/>
      <c r="J119" s="178"/>
      <c r="K119" s="177"/>
      <c r="L119" s="177"/>
      <c r="M119" s="197"/>
      <c r="N119" s="197"/>
      <c r="O119" s="197"/>
    </row>
    <row r="120" spans="5:15" ht="14.25" hidden="1">
      <c r="E120" s="176"/>
      <c r="F120" s="177"/>
      <c r="G120" s="177"/>
      <c r="H120" s="177"/>
      <c r="I120" s="178"/>
      <c r="J120" s="178"/>
      <c r="K120" s="177"/>
      <c r="L120" s="177"/>
      <c r="M120" s="197"/>
      <c r="N120" s="197"/>
      <c r="O120" s="197"/>
    </row>
    <row r="121" spans="5:15" ht="14.25" hidden="1">
      <c r="E121" s="176"/>
      <c r="F121" s="177"/>
      <c r="G121" s="177"/>
      <c r="H121" s="177"/>
      <c r="I121" s="178"/>
      <c r="J121" s="178"/>
      <c r="K121" s="177"/>
      <c r="L121" s="177"/>
      <c r="M121" s="197"/>
      <c r="N121" s="197"/>
      <c r="O121" s="197"/>
    </row>
    <row r="122" spans="5:15" ht="14.25" hidden="1">
      <c r="E122" s="176"/>
      <c r="F122" s="177"/>
      <c r="G122" s="177"/>
      <c r="H122" s="177"/>
      <c r="I122" s="178"/>
      <c r="J122" s="178"/>
      <c r="K122" s="177"/>
      <c r="L122" s="177"/>
      <c r="M122" s="197"/>
      <c r="N122" s="197"/>
      <c r="O122" s="197"/>
    </row>
    <row r="123" spans="5:15" ht="14.25" hidden="1">
      <c r="E123" s="176"/>
      <c r="F123" s="177"/>
      <c r="G123" s="177"/>
      <c r="H123" s="177"/>
      <c r="I123" s="178"/>
      <c r="J123" s="178"/>
      <c r="K123" s="177"/>
      <c r="L123" s="177"/>
      <c r="M123" s="197"/>
      <c r="N123" s="197"/>
      <c r="O123" s="197"/>
    </row>
    <row r="124" spans="5:15" ht="14.25" hidden="1">
      <c r="E124" s="176"/>
      <c r="F124" s="177"/>
      <c r="G124" s="177"/>
      <c r="H124" s="177"/>
      <c r="I124" s="178"/>
      <c r="J124" s="178"/>
      <c r="K124" s="177"/>
      <c r="L124" s="177"/>
      <c r="M124" s="197"/>
      <c r="N124" s="197"/>
      <c r="O124" s="197"/>
    </row>
    <row r="125" spans="5:15" ht="14.25" hidden="1">
      <c r="E125" s="176"/>
      <c r="F125" s="177"/>
      <c r="G125" s="177"/>
      <c r="H125" s="177"/>
      <c r="I125" s="178"/>
      <c r="J125" s="178"/>
      <c r="K125" s="177"/>
      <c r="L125" s="177"/>
      <c r="M125" s="197"/>
      <c r="N125" s="197"/>
      <c r="O125" s="197"/>
    </row>
    <row r="126" spans="5:15" ht="14.25" hidden="1">
      <c r="E126" s="176"/>
      <c r="F126" s="177"/>
      <c r="G126" s="177"/>
      <c r="H126" s="177"/>
      <c r="I126" s="178"/>
      <c r="J126" s="178"/>
      <c r="K126" s="177"/>
      <c r="L126" s="177"/>
      <c r="M126" s="197"/>
      <c r="N126" s="197"/>
      <c r="O126" s="197"/>
    </row>
    <row r="127" spans="5:15" ht="14.25" hidden="1">
      <c r="E127" s="176"/>
      <c r="F127" s="177"/>
      <c r="G127" s="177"/>
      <c r="H127" s="177"/>
      <c r="I127" s="178"/>
      <c r="J127" s="178"/>
      <c r="K127" s="177"/>
      <c r="L127" s="177"/>
      <c r="M127" s="197"/>
      <c r="N127" s="197"/>
      <c r="O127" s="197"/>
    </row>
    <row r="128" spans="5:15" ht="14.25" hidden="1">
      <c r="E128" s="176"/>
      <c r="F128" s="177"/>
      <c r="G128" s="177"/>
      <c r="H128" s="177"/>
      <c r="I128" s="178"/>
      <c r="J128" s="178"/>
      <c r="K128" s="177"/>
      <c r="L128" s="177"/>
      <c r="M128" s="197"/>
      <c r="N128" s="197"/>
      <c r="O128" s="197"/>
    </row>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customHeight="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0" hidden="1" customHeight="1"/>
    <row r="213" ht="0" hidden="1" customHeight="1"/>
    <row r="214" ht="0" hidden="1" customHeight="1"/>
  </sheetData>
  <sheetProtection sheet="1" objects="1" scenarios="1"/>
  <mergeCells count="13">
    <mergeCell ref="Q2:Q5"/>
    <mergeCell ref="N5:O5"/>
    <mergeCell ref="B69:G69"/>
    <mergeCell ref="H69:K69"/>
    <mergeCell ref="L69:O69"/>
    <mergeCell ref="D13:E13"/>
    <mergeCell ref="B65:K65"/>
    <mergeCell ref="L65:O65"/>
    <mergeCell ref="B67:G67"/>
    <mergeCell ref="H36:K38"/>
    <mergeCell ref="H67:K67"/>
    <mergeCell ref="L67:O67"/>
    <mergeCell ref="K5:L6"/>
  </mergeCells>
  <phoneticPr fontId="21"/>
  <conditionalFormatting sqref="I27:K34 H28:H34">
    <cfRule type="expression" dxfId="137" priority="1" stopIfTrue="1">
      <formula>$U$35=$W$36</formula>
    </cfRule>
  </conditionalFormatting>
  <conditionalFormatting sqref="H35:K35">
    <cfRule type="expression" dxfId="136" priority="2" stopIfTrue="1">
      <formula>$U$35=$W$36</formula>
    </cfRule>
  </conditionalFormatting>
  <conditionalFormatting sqref="H27">
    <cfRule type="expression" dxfId="135" priority="3" stopIfTrue="1">
      <formula>$U$35=$W$36</formula>
    </cfRule>
    <cfRule type="cellIs" dxfId="134" priority="4" stopIfTrue="1" operator="equal">
      <formula>$U$35</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VQ59"/>
  <sheetViews>
    <sheetView zoomScaleNormal="100" workbookViewId="0"/>
  </sheetViews>
  <sheetFormatPr defaultColWidth="0" defaultRowHeight="0" customHeight="1" zeroHeight="1"/>
  <cols>
    <col min="1" max="1" width="1.875" style="2715" customWidth="1"/>
    <col min="2" max="2" width="2.5" style="2715" customWidth="1"/>
    <col min="3" max="3" width="11.625" style="2715" customWidth="1"/>
    <col min="4" max="4" width="19.875" style="2715" customWidth="1"/>
    <col min="5" max="5" width="23.25" style="2715" customWidth="1"/>
    <col min="6" max="6" width="9" style="2715" customWidth="1"/>
    <col min="7" max="7" width="12.75" style="2715" customWidth="1"/>
    <col min="8" max="8" width="9" style="2715" customWidth="1"/>
    <col min="9" max="9" width="2.625" style="2715" customWidth="1"/>
    <col min="10" max="11" width="9" style="2715" hidden="1" customWidth="1"/>
    <col min="12" max="12" width="26.75" style="2715" hidden="1" customWidth="1"/>
    <col min="13" max="13" width="11.25" style="2715" hidden="1" customWidth="1"/>
    <col min="14" max="256" width="9" style="2715" hidden="1"/>
    <col min="257" max="257" width="1.875" style="2715" hidden="1" customWidth="1"/>
    <col min="258" max="258" width="2.5" style="2715" hidden="1" customWidth="1"/>
    <col min="259" max="259" width="11.625" style="2715" hidden="1" customWidth="1"/>
    <col min="260" max="260" width="19.875" style="2715" hidden="1" customWidth="1"/>
    <col min="261" max="261" width="23.25" style="2715" hidden="1" customWidth="1"/>
    <col min="262" max="262" width="9" style="2715" hidden="1" customWidth="1"/>
    <col min="263" max="263" width="12.75" style="2715" hidden="1" customWidth="1"/>
    <col min="264" max="264" width="9" style="2715" hidden="1" customWidth="1"/>
    <col min="265" max="265" width="2.625" style="2715" hidden="1" customWidth="1"/>
    <col min="266" max="269" width="9" style="2715" hidden="1" customWidth="1"/>
    <col min="270" max="512" width="9" style="2715" hidden="1"/>
    <col min="513" max="513" width="1.875" style="2715" hidden="1" customWidth="1"/>
    <col min="514" max="514" width="2.5" style="2715" hidden="1" customWidth="1"/>
    <col min="515" max="515" width="11.625" style="2715" hidden="1" customWidth="1"/>
    <col min="516" max="516" width="19.875" style="2715" hidden="1" customWidth="1"/>
    <col min="517" max="517" width="23.25" style="2715" hidden="1" customWidth="1"/>
    <col min="518" max="518" width="9" style="2715" hidden="1" customWidth="1"/>
    <col min="519" max="519" width="12.75" style="2715" hidden="1" customWidth="1"/>
    <col min="520" max="520" width="9" style="2715" hidden="1" customWidth="1"/>
    <col min="521" max="521" width="2.625" style="2715" hidden="1" customWidth="1"/>
    <col min="522" max="525" width="9" style="2715" hidden="1" customWidth="1"/>
    <col min="526" max="768" width="9" style="2715" hidden="1"/>
    <col min="769" max="769" width="1.875" style="2715" hidden="1" customWidth="1"/>
    <col min="770" max="770" width="2.5" style="2715" hidden="1" customWidth="1"/>
    <col min="771" max="771" width="11.625" style="2715" hidden="1" customWidth="1"/>
    <col min="772" max="772" width="19.875" style="2715" hidden="1" customWidth="1"/>
    <col min="773" max="773" width="23.25" style="2715" hidden="1" customWidth="1"/>
    <col min="774" max="774" width="9" style="2715" hidden="1" customWidth="1"/>
    <col min="775" max="775" width="12.75" style="2715" hidden="1" customWidth="1"/>
    <col min="776" max="776" width="9" style="2715" hidden="1" customWidth="1"/>
    <col min="777" max="777" width="2.625" style="2715" hidden="1" customWidth="1"/>
    <col min="778" max="781" width="9" style="2715" hidden="1" customWidth="1"/>
    <col min="782" max="1024" width="9" style="2715" hidden="1"/>
    <col min="1025" max="1025" width="1.875" style="2715" hidden="1" customWidth="1"/>
    <col min="1026" max="1026" width="2.5" style="2715" hidden="1" customWidth="1"/>
    <col min="1027" max="1027" width="11.625" style="2715" hidden="1" customWidth="1"/>
    <col min="1028" max="1028" width="19.875" style="2715" hidden="1" customWidth="1"/>
    <col min="1029" max="1029" width="23.25" style="2715" hidden="1" customWidth="1"/>
    <col min="1030" max="1030" width="9" style="2715" hidden="1" customWidth="1"/>
    <col min="1031" max="1031" width="12.75" style="2715" hidden="1" customWidth="1"/>
    <col min="1032" max="1032" width="9" style="2715" hidden="1" customWidth="1"/>
    <col min="1033" max="1033" width="2.625" style="2715" hidden="1" customWidth="1"/>
    <col min="1034" max="1037" width="9" style="2715" hidden="1" customWidth="1"/>
    <col min="1038" max="1280" width="9" style="2715" hidden="1"/>
    <col min="1281" max="1281" width="1.875" style="2715" hidden="1" customWidth="1"/>
    <col min="1282" max="1282" width="2.5" style="2715" hidden="1" customWidth="1"/>
    <col min="1283" max="1283" width="11.625" style="2715" hidden="1" customWidth="1"/>
    <col min="1284" max="1284" width="19.875" style="2715" hidden="1" customWidth="1"/>
    <col min="1285" max="1285" width="23.25" style="2715" hidden="1" customWidth="1"/>
    <col min="1286" max="1286" width="9" style="2715" hidden="1" customWidth="1"/>
    <col min="1287" max="1287" width="12.75" style="2715" hidden="1" customWidth="1"/>
    <col min="1288" max="1288" width="9" style="2715" hidden="1" customWidth="1"/>
    <col min="1289" max="1289" width="2.625" style="2715" hidden="1" customWidth="1"/>
    <col min="1290" max="1293" width="9" style="2715" hidden="1" customWidth="1"/>
    <col min="1294" max="1536" width="9" style="2715" hidden="1"/>
    <col min="1537" max="1537" width="1.875" style="2715" hidden="1" customWidth="1"/>
    <col min="1538" max="1538" width="2.5" style="2715" hidden="1" customWidth="1"/>
    <col min="1539" max="1539" width="11.625" style="2715" hidden="1" customWidth="1"/>
    <col min="1540" max="1540" width="19.875" style="2715" hidden="1" customWidth="1"/>
    <col min="1541" max="1541" width="23.25" style="2715" hidden="1" customWidth="1"/>
    <col min="1542" max="1542" width="9" style="2715" hidden="1" customWidth="1"/>
    <col min="1543" max="1543" width="12.75" style="2715" hidden="1" customWidth="1"/>
    <col min="1544" max="1544" width="9" style="2715" hidden="1" customWidth="1"/>
    <col min="1545" max="1545" width="2.625" style="2715" hidden="1" customWidth="1"/>
    <col min="1546" max="1549" width="9" style="2715" hidden="1" customWidth="1"/>
    <col min="1550" max="1792" width="9" style="2715" hidden="1"/>
    <col min="1793" max="1793" width="1.875" style="2715" hidden="1" customWidth="1"/>
    <col min="1794" max="1794" width="2.5" style="2715" hidden="1" customWidth="1"/>
    <col min="1795" max="1795" width="11.625" style="2715" hidden="1" customWidth="1"/>
    <col min="1796" max="1796" width="19.875" style="2715" hidden="1" customWidth="1"/>
    <col min="1797" max="1797" width="23.25" style="2715" hidden="1" customWidth="1"/>
    <col min="1798" max="1798" width="9" style="2715" hidden="1" customWidth="1"/>
    <col min="1799" max="1799" width="12.75" style="2715" hidden="1" customWidth="1"/>
    <col min="1800" max="1800" width="9" style="2715" hidden="1" customWidth="1"/>
    <col min="1801" max="1801" width="2.625" style="2715" hidden="1" customWidth="1"/>
    <col min="1802" max="1805" width="9" style="2715" hidden="1" customWidth="1"/>
    <col min="1806" max="2048" width="9" style="2715" hidden="1"/>
    <col min="2049" max="2049" width="1.875" style="2715" hidden="1" customWidth="1"/>
    <col min="2050" max="2050" width="2.5" style="2715" hidden="1" customWidth="1"/>
    <col min="2051" max="2051" width="11.625" style="2715" hidden="1" customWidth="1"/>
    <col min="2052" max="2052" width="19.875" style="2715" hidden="1" customWidth="1"/>
    <col min="2053" max="2053" width="23.25" style="2715" hidden="1" customWidth="1"/>
    <col min="2054" max="2054" width="9" style="2715" hidden="1" customWidth="1"/>
    <col min="2055" max="2055" width="12.75" style="2715" hidden="1" customWidth="1"/>
    <col min="2056" max="2056" width="9" style="2715" hidden="1" customWidth="1"/>
    <col min="2057" max="2057" width="2.625" style="2715" hidden="1" customWidth="1"/>
    <col min="2058" max="2061" width="9" style="2715" hidden="1" customWidth="1"/>
    <col min="2062" max="2304" width="9" style="2715" hidden="1"/>
    <col min="2305" max="2305" width="1.875" style="2715" hidden="1" customWidth="1"/>
    <col min="2306" max="2306" width="2.5" style="2715" hidden="1" customWidth="1"/>
    <col min="2307" max="2307" width="11.625" style="2715" hidden="1" customWidth="1"/>
    <col min="2308" max="2308" width="19.875" style="2715" hidden="1" customWidth="1"/>
    <col min="2309" max="2309" width="23.25" style="2715" hidden="1" customWidth="1"/>
    <col min="2310" max="2310" width="9" style="2715" hidden="1" customWidth="1"/>
    <col min="2311" max="2311" width="12.75" style="2715" hidden="1" customWidth="1"/>
    <col min="2312" max="2312" width="9" style="2715" hidden="1" customWidth="1"/>
    <col min="2313" max="2313" width="2.625" style="2715" hidden="1" customWidth="1"/>
    <col min="2314" max="2317" width="9" style="2715" hidden="1" customWidth="1"/>
    <col min="2318" max="2560" width="9" style="2715" hidden="1"/>
    <col min="2561" max="2561" width="1.875" style="2715" hidden="1" customWidth="1"/>
    <col min="2562" max="2562" width="2.5" style="2715" hidden="1" customWidth="1"/>
    <col min="2563" max="2563" width="11.625" style="2715" hidden="1" customWidth="1"/>
    <col min="2564" max="2564" width="19.875" style="2715" hidden="1" customWidth="1"/>
    <col min="2565" max="2565" width="23.25" style="2715" hidden="1" customWidth="1"/>
    <col min="2566" max="2566" width="9" style="2715" hidden="1" customWidth="1"/>
    <col min="2567" max="2567" width="12.75" style="2715" hidden="1" customWidth="1"/>
    <col min="2568" max="2568" width="9" style="2715" hidden="1" customWidth="1"/>
    <col min="2569" max="2569" width="2.625" style="2715" hidden="1" customWidth="1"/>
    <col min="2570" max="2573" width="9" style="2715" hidden="1" customWidth="1"/>
    <col min="2574" max="2816" width="9" style="2715" hidden="1"/>
    <col min="2817" max="2817" width="1.875" style="2715" hidden="1" customWidth="1"/>
    <col min="2818" max="2818" width="2.5" style="2715" hidden="1" customWidth="1"/>
    <col min="2819" max="2819" width="11.625" style="2715" hidden="1" customWidth="1"/>
    <col min="2820" max="2820" width="19.875" style="2715" hidden="1" customWidth="1"/>
    <col min="2821" max="2821" width="23.25" style="2715" hidden="1" customWidth="1"/>
    <col min="2822" max="2822" width="9" style="2715" hidden="1" customWidth="1"/>
    <col min="2823" max="2823" width="12.75" style="2715" hidden="1" customWidth="1"/>
    <col min="2824" max="2824" width="9" style="2715" hidden="1" customWidth="1"/>
    <col min="2825" max="2825" width="2.625" style="2715" hidden="1" customWidth="1"/>
    <col min="2826" max="2829" width="9" style="2715" hidden="1" customWidth="1"/>
    <col min="2830" max="3072" width="9" style="2715" hidden="1"/>
    <col min="3073" max="3073" width="1.875" style="2715" hidden="1" customWidth="1"/>
    <col min="3074" max="3074" width="2.5" style="2715" hidden="1" customWidth="1"/>
    <col min="3075" max="3075" width="11.625" style="2715" hidden="1" customWidth="1"/>
    <col min="3076" max="3076" width="19.875" style="2715" hidden="1" customWidth="1"/>
    <col min="3077" max="3077" width="23.25" style="2715" hidden="1" customWidth="1"/>
    <col min="3078" max="3078" width="9" style="2715" hidden="1" customWidth="1"/>
    <col min="3079" max="3079" width="12.75" style="2715" hidden="1" customWidth="1"/>
    <col min="3080" max="3080" width="9" style="2715" hidden="1" customWidth="1"/>
    <col min="3081" max="3081" width="2.625" style="2715" hidden="1" customWidth="1"/>
    <col min="3082" max="3085" width="9" style="2715" hidden="1" customWidth="1"/>
    <col min="3086" max="3328" width="9" style="2715" hidden="1"/>
    <col min="3329" max="3329" width="1.875" style="2715" hidden="1" customWidth="1"/>
    <col min="3330" max="3330" width="2.5" style="2715" hidden="1" customWidth="1"/>
    <col min="3331" max="3331" width="11.625" style="2715" hidden="1" customWidth="1"/>
    <col min="3332" max="3332" width="19.875" style="2715" hidden="1" customWidth="1"/>
    <col min="3333" max="3333" width="23.25" style="2715" hidden="1" customWidth="1"/>
    <col min="3334" max="3334" width="9" style="2715" hidden="1" customWidth="1"/>
    <col min="3335" max="3335" width="12.75" style="2715" hidden="1" customWidth="1"/>
    <col min="3336" max="3336" width="9" style="2715" hidden="1" customWidth="1"/>
    <col min="3337" max="3337" width="2.625" style="2715" hidden="1" customWidth="1"/>
    <col min="3338" max="3341" width="9" style="2715" hidden="1" customWidth="1"/>
    <col min="3342" max="3584" width="9" style="2715" hidden="1"/>
    <col min="3585" max="3585" width="1.875" style="2715" hidden="1" customWidth="1"/>
    <col min="3586" max="3586" width="2.5" style="2715" hidden="1" customWidth="1"/>
    <col min="3587" max="3587" width="11.625" style="2715" hidden="1" customWidth="1"/>
    <col min="3588" max="3588" width="19.875" style="2715" hidden="1" customWidth="1"/>
    <col min="3589" max="3589" width="23.25" style="2715" hidden="1" customWidth="1"/>
    <col min="3590" max="3590" width="9" style="2715" hidden="1" customWidth="1"/>
    <col min="3591" max="3591" width="12.75" style="2715" hidden="1" customWidth="1"/>
    <col min="3592" max="3592" width="9" style="2715" hidden="1" customWidth="1"/>
    <col min="3593" max="3593" width="2.625" style="2715" hidden="1" customWidth="1"/>
    <col min="3594" max="3597" width="9" style="2715" hidden="1" customWidth="1"/>
    <col min="3598" max="3840" width="9" style="2715" hidden="1"/>
    <col min="3841" max="3841" width="1.875" style="2715" hidden="1" customWidth="1"/>
    <col min="3842" max="3842" width="2.5" style="2715" hidden="1" customWidth="1"/>
    <col min="3843" max="3843" width="11.625" style="2715" hidden="1" customWidth="1"/>
    <col min="3844" max="3844" width="19.875" style="2715" hidden="1" customWidth="1"/>
    <col min="3845" max="3845" width="23.25" style="2715" hidden="1" customWidth="1"/>
    <col min="3846" max="3846" width="9" style="2715" hidden="1" customWidth="1"/>
    <col min="3847" max="3847" width="12.75" style="2715" hidden="1" customWidth="1"/>
    <col min="3848" max="3848" width="9" style="2715" hidden="1" customWidth="1"/>
    <col min="3849" max="3849" width="2.625" style="2715" hidden="1" customWidth="1"/>
    <col min="3850" max="3853" width="9" style="2715" hidden="1" customWidth="1"/>
    <col min="3854" max="4096" width="9" style="2715" hidden="1"/>
    <col min="4097" max="4097" width="1.875" style="2715" hidden="1" customWidth="1"/>
    <col min="4098" max="4098" width="2.5" style="2715" hidden="1" customWidth="1"/>
    <col min="4099" max="4099" width="11.625" style="2715" hidden="1" customWidth="1"/>
    <col min="4100" max="4100" width="19.875" style="2715" hidden="1" customWidth="1"/>
    <col min="4101" max="4101" width="23.25" style="2715" hidden="1" customWidth="1"/>
    <col min="4102" max="4102" width="9" style="2715" hidden="1" customWidth="1"/>
    <col min="4103" max="4103" width="12.75" style="2715" hidden="1" customWidth="1"/>
    <col min="4104" max="4104" width="9" style="2715" hidden="1" customWidth="1"/>
    <col min="4105" max="4105" width="2.625" style="2715" hidden="1" customWidth="1"/>
    <col min="4106" max="4109" width="9" style="2715" hidden="1" customWidth="1"/>
    <col min="4110" max="4352" width="9" style="2715" hidden="1"/>
    <col min="4353" max="4353" width="1.875" style="2715" hidden="1" customWidth="1"/>
    <col min="4354" max="4354" width="2.5" style="2715" hidden="1" customWidth="1"/>
    <col min="4355" max="4355" width="11.625" style="2715" hidden="1" customWidth="1"/>
    <col min="4356" max="4356" width="19.875" style="2715" hidden="1" customWidth="1"/>
    <col min="4357" max="4357" width="23.25" style="2715" hidden="1" customWidth="1"/>
    <col min="4358" max="4358" width="9" style="2715" hidden="1" customWidth="1"/>
    <col min="4359" max="4359" width="12.75" style="2715" hidden="1" customWidth="1"/>
    <col min="4360" max="4360" width="9" style="2715" hidden="1" customWidth="1"/>
    <col min="4361" max="4361" width="2.625" style="2715" hidden="1" customWidth="1"/>
    <col min="4362" max="4365" width="9" style="2715" hidden="1" customWidth="1"/>
    <col min="4366" max="4608" width="9" style="2715" hidden="1"/>
    <col min="4609" max="4609" width="1.875" style="2715" hidden="1" customWidth="1"/>
    <col min="4610" max="4610" width="2.5" style="2715" hidden="1" customWidth="1"/>
    <col min="4611" max="4611" width="11.625" style="2715" hidden="1" customWidth="1"/>
    <col min="4612" max="4612" width="19.875" style="2715" hidden="1" customWidth="1"/>
    <col min="4613" max="4613" width="23.25" style="2715" hidden="1" customWidth="1"/>
    <col min="4614" max="4614" width="9" style="2715" hidden="1" customWidth="1"/>
    <col min="4615" max="4615" width="12.75" style="2715" hidden="1" customWidth="1"/>
    <col min="4616" max="4616" width="9" style="2715" hidden="1" customWidth="1"/>
    <col min="4617" max="4617" width="2.625" style="2715" hidden="1" customWidth="1"/>
    <col min="4618" max="4621" width="9" style="2715" hidden="1" customWidth="1"/>
    <col min="4622" max="4864" width="9" style="2715" hidden="1"/>
    <col min="4865" max="4865" width="1.875" style="2715" hidden="1" customWidth="1"/>
    <col min="4866" max="4866" width="2.5" style="2715" hidden="1" customWidth="1"/>
    <col min="4867" max="4867" width="11.625" style="2715" hidden="1" customWidth="1"/>
    <col min="4868" max="4868" width="19.875" style="2715" hidden="1" customWidth="1"/>
    <col min="4869" max="4869" width="23.25" style="2715" hidden="1" customWidth="1"/>
    <col min="4870" max="4870" width="9" style="2715" hidden="1" customWidth="1"/>
    <col min="4871" max="4871" width="12.75" style="2715" hidden="1" customWidth="1"/>
    <col min="4872" max="4872" width="9" style="2715" hidden="1" customWidth="1"/>
    <col min="4873" max="4873" width="2.625" style="2715" hidden="1" customWidth="1"/>
    <col min="4874" max="4877" width="9" style="2715" hidden="1" customWidth="1"/>
    <col min="4878" max="5120" width="9" style="2715" hidden="1"/>
    <col min="5121" max="5121" width="1.875" style="2715" hidden="1" customWidth="1"/>
    <col min="5122" max="5122" width="2.5" style="2715" hidden="1" customWidth="1"/>
    <col min="5123" max="5123" width="11.625" style="2715" hidden="1" customWidth="1"/>
    <col min="5124" max="5124" width="19.875" style="2715" hidden="1" customWidth="1"/>
    <col min="5125" max="5125" width="23.25" style="2715" hidden="1" customWidth="1"/>
    <col min="5126" max="5126" width="9" style="2715" hidden="1" customWidth="1"/>
    <col min="5127" max="5127" width="12.75" style="2715" hidden="1" customWidth="1"/>
    <col min="5128" max="5128" width="9" style="2715" hidden="1" customWidth="1"/>
    <col min="5129" max="5129" width="2.625" style="2715" hidden="1" customWidth="1"/>
    <col min="5130" max="5133" width="9" style="2715" hidden="1" customWidth="1"/>
    <col min="5134" max="5376" width="9" style="2715" hidden="1"/>
    <col min="5377" max="5377" width="1.875" style="2715" hidden="1" customWidth="1"/>
    <col min="5378" max="5378" width="2.5" style="2715" hidden="1" customWidth="1"/>
    <col min="5379" max="5379" width="11.625" style="2715" hidden="1" customWidth="1"/>
    <col min="5380" max="5380" width="19.875" style="2715" hidden="1" customWidth="1"/>
    <col min="5381" max="5381" width="23.25" style="2715" hidden="1" customWidth="1"/>
    <col min="5382" max="5382" width="9" style="2715" hidden="1" customWidth="1"/>
    <col min="5383" max="5383" width="12.75" style="2715" hidden="1" customWidth="1"/>
    <col min="5384" max="5384" width="9" style="2715" hidden="1" customWidth="1"/>
    <col min="5385" max="5385" width="2.625" style="2715" hidden="1" customWidth="1"/>
    <col min="5386" max="5389" width="9" style="2715" hidden="1" customWidth="1"/>
    <col min="5390" max="5632" width="9" style="2715" hidden="1"/>
    <col min="5633" max="5633" width="1.875" style="2715" hidden="1" customWidth="1"/>
    <col min="5634" max="5634" width="2.5" style="2715" hidden="1" customWidth="1"/>
    <col min="5635" max="5635" width="11.625" style="2715" hidden="1" customWidth="1"/>
    <col min="5636" max="5636" width="19.875" style="2715" hidden="1" customWidth="1"/>
    <col min="5637" max="5637" width="23.25" style="2715" hidden="1" customWidth="1"/>
    <col min="5638" max="5638" width="9" style="2715" hidden="1" customWidth="1"/>
    <col min="5639" max="5639" width="12.75" style="2715" hidden="1" customWidth="1"/>
    <col min="5640" max="5640" width="9" style="2715" hidden="1" customWidth="1"/>
    <col min="5641" max="5641" width="2.625" style="2715" hidden="1" customWidth="1"/>
    <col min="5642" max="5645" width="9" style="2715" hidden="1" customWidth="1"/>
    <col min="5646" max="5888" width="9" style="2715" hidden="1"/>
    <col min="5889" max="5889" width="1.875" style="2715" hidden="1" customWidth="1"/>
    <col min="5890" max="5890" width="2.5" style="2715" hidden="1" customWidth="1"/>
    <col min="5891" max="5891" width="11.625" style="2715" hidden="1" customWidth="1"/>
    <col min="5892" max="5892" width="19.875" style="2715" hidden="1" customWidth="1"/>
    <col min="5893" max="5893" width="23.25" style="2715" hidden="1" customWidth="1"/>
    <col min="5894" max="5894" width="9" style="2715" hidden="1" customWidth="1"/>
    <col min="5895" max="5895" width="12.75" style="2715" hidden="1" customWidth="1"/>
    <col min="5896" max="5896" width="9" style="2715" hidden="1" customWidth="1"/>
    <col min="5897" max="5897" width="2.625" style="2715" hidden="1" customWidth="1"/>
    <col min="5898" max="5901" width="9" style="2715" hidden="1" customWidth="1"/>
    <col min="5902" max="6144" width="9" style="2715" hidden="1"/>
    <col min="6145" max="6145" width="1.875" style="2715" hidden="1" customWidth="1"/>
    <col min="6146" max="6146" width="2.5" style="2715" hidden="1" customWidth="1"/>
    <col min="6147" max="6147" width="11.625" style="2715" hidden="1" customWidth="1"/>
    <col min="6148" max="6148" width="19.875" style="2715" hidden="1" customWidth="1"/>
    <col min="6149" max="6149" width="23.25" style="2715" hidden="1" customWidth="1"/>
    <col min="6150" max="6150" width="9" style="2715" hidden="1" customWidth="1"/>
    <col min="6151" max="6151" width="12.75" style="2715" hidden="1" customWidth="1"/>
    <col min="6152" max="6152" width="9" style="2715" hidden="1" customWidth="1"/>
    <col min="6153" max="6153" width="2.625" style="2715" hidden="1" customWidth="1"/>
    <col min="6154" max="6157" width="9" style="2715" hidden="1" customWidth="1"/>
    <col min="6158" max="6400" width="9" style="2715" hidden="1"/>
    <col min="6401" max="6401" width="1.875" style="2715" hidden="1" customWidth="1"/>
    <col min="6402" max="6402" width="2.5" style="2715" hidden="1" customWidth="1"/>
    <col min="6403" max="6403" width="11.625" style="2715" hidden="1" customWidth="1"/>
    <col min="6404" max="6404" width="19.875" style="2715" hidden="1" customWidth="1"/>
    <col min="6405" max="6405" width="23.25" style="2715" hidden="1" customWidth="1"/>
    <col min="6406" max="6406" width="9" style="2715" hidden="1" customWidth="1"/>
    <col min="6407" max="6407" width="12.75" style="2715" hidden="1" customWidth="1"/>
    <col min="6408" max="6408" width="9" style="2715" hidden="1" customWidth="1"/>
    <col min="6409" max="6409" width="2.625" style="2715" hidden="1" customWidth="1"/>
    <col min="6410" max="6413" width="9" style="2715" hidden="1" customWidth="1"/>
    <col min="6414" max="6656" width="9" style="2715" hidden="1"/>
    <col min="6657" max="6657" width="1.875" style="2715" hidden="1" customWidth="1"/>
    <col min="6658" max="6658" width="2.5" style="2715" hidden="1" customWidth="1"/>
    <col min="6659" max="6659" width="11.625" style="2715" hidden="1" customWidth="1"/>
    <col min="6660" max="6660" width="19.875" style="2715" hidden="1" customWidth="1"/>
    <col min="6661" max="6661" width="23.25" style="2715" hidden="1" customWidth="1"/>
    <col min="6662" max="6662" width="9" style="2715" hidden="1" customWidth="1"/>
    <col min="6663" max="6663" width="12.75" style="2715" hidden="1" customWidth="1"/>
    <col min="6664" max="6664" width="9" style="2715" hidden="1" customWidth="1"/>
    <col min="6665" max="6665" width="2.625" style="2715" hidden="1" customWidth="1"/>
    <col min="6666" max="6669" width="9" style="2715" hidden="1" customWidth="1"/>
    <col min="6670" max="6912" width="9" style="2715" hidden="1"/>
    <col min="6913" max="6913" width="1.875" style="2715" hidden="1" customWidth="1"/>
    <col min="6914" max="6914" width="2.5" style="2715" hidden="1" customWidth="1"/>
    <col min="6915" max="6915" width="11.625" style="2715" hidden="1" customWidth="1"/>
    <col min="6916" max="6916" width="19.875" style="2715" hidden="1" customWidth="1"/>
    <col min="6917" max="6917" width="23.25" style="2715" hidden="1" customWidth="1"/>
    <col min="6918" max="6918" width="9" style="2715" hidden="1" customWidth="1"/>
    <col min="6919" max="6919" width="12.75" style="2715" hidden="1" customWidth="1"/>
    <col min="6920" max="6920" width="9" style="2715" hidden="1" customWidth="1"/>
    <col min="6921" max="6921" width="2.625" style="2715" hidden="1" customWidth="1"/>
    <col min="6922" max="6925" width="9" style="2715" hidden="1" customWidth="1"/>
    <col min="6926" max="7168" width="9" style="2715" hidden="1"/>
    <col min="7169" max="7169" width="1.875" style="2715" hidden="1" customWidth="1"/>
    <col min="7170" max="7170" width="2.5" style="2715" hidden="1" customWidth="1"/>
    <col min="7171" max="7171" width="11.625" style="2715" hidden="1" customWidth="1"/>
    <col min="7172" max="7172" width="19.875" style="2715" hidden="1" customWidth="1"/>
    <col min="7173" max="7173" width="23.25" style="2715" hidden="1" customWidth="1"/>
    <col min="7174" max="7174" width="9" style="2715" hidden="1" customWidth="1"/>
    <col min="7175" max="7175" width="12.75" style="2715" hidden="1" customWidth="1"/>
    <col min="7176" max="7176" width="9" style="2715" hidden="1" customWidth="1"/>
    <col min="7177" max="7177" width="2.625" style="2715" hidden="1" customWidth="1"/>
    <col min="7178" max="7181" width="9" style="2715" hidden="1" customWidth="1"/>
    <col min="7182" max="7424" width="9" style="2715" hidden="1"/>
    <col min="7425" max="7425" width="1.875" style="2715" hidden="1" customWidth="1"/>
    <col min="7426" max="7426" width="2.5" style="2715" hidden="1" customWidth="1"/>
    <col min="7427" max="7427" width="11.625" style="2715" hidden="1" customWidth="1"/>
    <col min="7428" max="7428" width="19.875" style="2715" hidden="1" customWidth="1"/>
    <col min="7429" max="7429" width="23.25" style="2715" hidden="1" customWidth="1"/>
    <col min="7430" max="7430" width="9" style="2715" hidden="1" customWidth="1"/>
    <col min="7431" max="7431" width="12.75" style="2715" hidden="1" customWidth="1"/>
    <col min="7432" max="7432" width="9" style="2715" hidden="1" customWidth="1"/>
    <col min="7433" max="7433" width="2.625" style="2715" hidden="1" customWidth="1"/>
    <col min="7434" max="7437" width="9" style="2715" hidden="1" customWidth="1"/>
    <col min="7438" max="7680" width="9" style="2715" hidden="1"/>
    <col min="7681" max="7681" width="1.875" style="2715" hidden="1" customWidth="1"/>
    <col min="7682" max="7682" width="2.5" style="2715" hidden="1" customWidth="1"/>
    <col min="7683" max="7683" width="11.625" style="2715" hidden="1" customWidth="1"/>
    <col min="7684" max="7684" width="19.875" style="2715" hidden="1" customWidth="1"/>
    <col min="7685" max="7685" width="23.25" style="2715" hidden="1" customWidth="1"/>
    <col min="7686" max="7686" width="9" style="2715" hidden="1" customWidth="1"/>
    <col min="7687" max="7687" width="12.75" style="2715" hidden="1" customWidth="1"/>
    <col min="7688" max="7688" width="9" style="2715" hidden="1" customWidth="1"/>
    <col min="7689" max="7689" width="2.625" style="2715" hidden="1" customWidth="1"/>
    <col min="7690" max="7693" width="9" style="2715" hidden="1" customWidth="1"/>
    <col min="7694" max="7936" width="9" style="2715" hidden="1"/>
    <col min="7937" max="7937" width="1.875" style="2715" hidden="1" customWidth="1"/>
    <col min="7938" max="7938" width="2.5" style="2715" hidden="1" customWidth="1"/>
    <col min="7939" max="7939" width="11.625" style="2715" hidden="1" customWidth="1"/>
    <col min="7940" max="7940" width="19.875" style="2715" hidden="1" customWidth="1"/>
    <col min="7941" max="7941" width="23.25" style="2715" hidden="1" customWidth="1"/>
    <col min="7942" max="7942" width="9" style="2715" hidden="1" customWidth="1"/>
    <col min="7943" max="7943" width="12.75" style="2715" hidden="1" customWidth="1"/>
    <col min="7944" max="7944" width="9" style="2715" hidden="1" customWidth="1"/>
    <col min="7945" max="7945" width="2.625" style="2715" hidden="1" customWidth="1"/>
    <col min="7946" max="7949" width="9" style="2715" hidden="1" customWidth="1"/>
    <col min="7950" max="8192" width="9" style="2715" hidden="1"/>
    <col min="8193" max="8193" width="1.875" style="2715" hidden="1" customWidth="1"/>
    <col min="8194" max="8194" width="2.5" style="2715" hidden="1" customWidth="1"/>
    <col min="8195" max="8195" width="11.625" style="2715" hidden="1" customWidth="1"/>
    <col min="8196" max="8196" width="19.875" style="2715" hidden="1" customWidth="1"/>
    <col min="8197" max="8197" width="23.25" style="2715" hidden="1" customWidth="1"/>
    <col min="8198" max="8198" width="9" style="2715" hidden="1" customWidth="1"/>
    <col min="8199" max="8199" width="12.75" style="2715" hidden="1" customWidth="1"/>
    <col min="8200" max="8200" width="9" style="2715" hidden="1" customWidth="1"/>
    <col min="8201" max="8201" width="2.625" style="2715" hidden="1" customWidth="1"/>
    <col min="8202" max="8205" width="9" style="2715" hidden="1" customWidth="1"/>
    <col min="8206" max="8448" width="9" style="2715" hidden="1"/>
    <col min="8449" max="8449" width="1.875" style="2715" hidden="1" customWidth="1"/>
    <col min="8450" max="8450" width="2.5" style="2715" hidden="1" customWidth="1"/>
    <col min="8451" max="8451" width="11.625" style="2715" hidden="1" customWidth="1"/>
    <col min="8452" max="8452" width="19.875" style="2715" hidden="1" customWidth="1"/>
    <col min="8453" max="8453" width="23.25" style="2715" hidden="1" customWidth="1"/>
    <col min="8454" max="8454" width="9" style="2715" hidden="1" customWidth="1"/>
    <col min="8455" max="8455" width="12.75" style="2715" hidden="1" customWidth="1"/>
    <col min="8456" max="8456" width="9" style="2715" hidden="1" customWidth="1"/>
    <col min="8457" max="8457" width="2.625" style="2715" hidden="1" customWidth="1"/>
    <col min="8458" max="8461" width="9" style="2715" hidden="1" customWidth="1"/>
    <col min="8462" max="8704" width="9" style="2715" hidden="1"/>
    <col min="8705" max="8705" width="1.875" style="2715" hidden="1" customWidth="1"/>
    <col min="8706" max="8706" width="2.5" style="2715" hidden="1" customWidth="1"/>
    <col min="8707" max="8707" width="11.625" style="2715" hidden="1" customWidth="1"/>
    <col min="8708" max="8708" width="19.875" style="2715" hidden="1" customWidth="1"/>
    <col min="8709" max="8709" width="23.25" style="2715" hidden="1" customWidth="1"/>
    <col min="8710" max="8710" width="9" style="2715" hidden="1" customWidth="1"/>
    <col min="8711" max="8711" width="12.75" style="2715" hidden="1" customWidth="1"/>
    <col min="8712" max="8712" width="9" style="2715" hidden="1" customWidth="1"/>
    <col min="8713" max="8713" width="2.625" style="2715" hidden="1" customWidth="1"/>
    <col min="8714" max="8717" width="9" style="2715" hidden="1" customWidth="1"/>
    <col min="8718" max="8960" width="9" style="2715" hidden="1"/>
    <col min="8961" max="8961" width="1.875" style="2715" hidden="1" customWidth="1"/>
    <col min="8962" max="8962" width="2.5" style="2715" hidden="1" customWidth="1"/>
    <col min="8963" max="8963" width="11.625" style="2715" hidden="1" customWidth="1"/>
    <col min="8964" max="8964" width="19.875" style="2715" hidden="1" customWidth="1"/>
    <col min="8965" max="8965" width="23.25" style="2715" hidden="1" customWidth="1"/>
    <col min="8966" max="8966" width="9" style="2715" hidden="1" customWidth="1"/>
    <col min="8967" max="8967" width="12.75" style="2715" hidden="1" customWidth="1"/>
    <col min="8968" max="8968" width="9" style="2715" hidden="1" customWidth="1"/>
    <col min="8969" max="8969" width="2.625" style="2715" hidden="1" customWidth="1"/>
    <col min="8970" max="8973" width="9" style="2715" hidden="1" customWidth="1"/>
    <col min="8974" max="9216" width="9" style="2715" hidden="1"/>
    <col min="9217" max="9217" width="1.875" style="2715" hidden="1" customWidth="1"/>
    <col min="9218" max="9218" width="2.5" style="2715" hidden="1" customWidth="1"/>
    <col min="9219" max="9219" width="11.625" style="2715" hidden="1" customWidth="1"/>
    <col min="9220" max="9220" width="19.875" style="2715" hidden="1" customWidth="1"/>
    <col min="9221" max="9221" width="23.25" style="2715" hidden="1" customWidth="1"/>
    <col min="9222" max="9222" width="9" style="2715" hidden="1" customWidth="1"/>
    <col min="9223" max="9223" width="12.75" style="2715" hidden="1" customWidth="1"/>
    <col min="9224" max="9224" width="9" style="2715" hidden="1" customWidth="1"/>
    <col min="9225" max="9225" width="2.625" style="2715" hidden="1" customWidth="1"/>
    <col min="9226" max="9229" width="9" style="2715" hidden="1" customWidth="1"/>
    <col min="9230" max="9472" width="9" style="2715" hidden="1"/>
    <col min="9473" max="9473" width="1.875" style="2715" hidden="1" customWidth="1"/>
    <col min="9474" max="9474" width="2.5" style="2715" hidden="1" customWidth="1"/>
    <col min="9475" max="9475" width="11.625" style="2715" hidden="1" customWidth="1"/>
    <col min="9476" max="9476" width="19.875" style="2715" hidden="1" customWidth="1"/>
    <col min="9477" max="9477" width="23.25" style="2715" hidden="1" customWidth="1"/>
    <col min="9478" max="9478" width="9" style="2715" hidden="1" customWidth="1"/>
    <col min="9479" max="9479" width="12.75" style="2715" hidden="1" customWidth="1"/>
    <col min="9480" max="9480" width="9" style="2715" hidden="1" customWidth="1"/>
    <col min="9481" max="9481" width="2.625" style="2715" hidden="1" customWidth="1"/>
    <col min="9482" max="9485" width="9" style="2715" hidden="1" customWidth="1"/>
    <col min="9486" max="9728" width="9" style="2715" hidden="1"/>
    <col min="9729" max="9729" width="1.875" style="2715" hidden="1" customWidth="1"/>
    <col min="9730" max="9730" width="2.5" style="2715" hidden="1" customWidth="1"/>
    <col min="9731" max="9731" width="11.625" style="2715" hidden="1" customWidth="1"/>
    <col min="9732" max="9732" width="19.875" style="2715" hidden="1" customWidth="1"/>
    <col min="9733" max="9733" width="23.25" style="2715" hidden="1" customWidth="1"/>
    <col min="9734" max="9734" width="9" style="2715" hidden="1" customWidth="1"/>
    <col min="9735" max="9735" width="12.75" style="2715" hidden="1" customWidth="1"/>
    <col min="9736" max="9736" width="9" style="2715" hidden="1" customWidth="1"/>
    <col min="9737" max="9737" width="2.625" style="2715" hidden="1" customWidth="1"/>
    <col min="9738" max="9741" width="9" style="2715" hidden="1" customWidth="1"/>
    <col min="9742" max="9984" width="9" style="2715" hidden="1"/>
    <col min="9985" max="9985" width="1.875" style="2715" hidden="1" customWidth="1"/>
    <col min="9986" max="9986" width="2.5" style="2715" hidden="1" customWidth="1"/>
    <col min="9987" max="9987" width="11.625" style="2715" hidden="1" customWidth="1"/>
    <col min="9988" max="9988" width="19.875" style="2715" hidden="1" customWidth="1"/>
    <col min="9989" max="9989" width="23.25" style="2715" hidden="1" customWidth="1"/>
    <col min="9990" max="9990" width="9" style="2715" hidden="1" customWidth="1"/>
    <col min="9991" max="9991" width="12.75" style="2715" hidden="1" customWidth="1"/>
    <col min="9992" max="9992" width="9" style="2715" hidden="1" customWidth="1"/>
    <col min="9993" max="9993" width="2.625" style="2715" hidden="1" customWidth="1"/>
    <col min="9994" max="9997" width="9" style="2715" hidden="1" customWidth="1"/>
    <col min="9998" max="10240" width="9" style="2715" hidden="1"/>
    <col min="10241" max="10241" width="1.875" style="2715" hidden="1" customWidth="1"/>
    <col min="10242" max="10242" width="2.5" style="2715" hidden="1" customWidth="1"/>
    <col min="10243" max="10243" width="11.625" style="2715" hidden="1" customWidth="1"/>
    <col min="10244" max="10244" width="19.875" style="2715" hidden="1" customWidth="1"/>
    <col min="10245" max="10245" width="23.25" style="2715" hidden="1" customWidth="1"/>
    <col min="10246" max="10246" width="9" style="2715" hidden="1" customWidth="1"/>
    <col min="10247" max="10247" width="12.75" style="2715" hidden="1" customWidth="1"/>
    <col min="10248" max="10248" width="9" style="2715" hidden="1" customWidth="1"/>
    <col min="10249" max="10249" width="2.625" style="2715" hidden="1" customWidth="1"/>
    <col min="10250" max="10253" width="9" style="2715" hidden="1" customWidth="1"/>
    <col min="10254" max="10496" width="9" style="2715" hidden="1"/>
    <col min="10497" max="10497" width="1.875" style="2715" hidden="1" customWidth="1"/>
    <col min="10498" max="10498" width="2.5" style="2715" hidden="1" customWidth="1"/>
    <col min="10499" max="10499" width="11.625" style="2715" hidden="1" customWidth="1"/>
    <col min="10500" max="10500" width="19.875" style="2715" hidden="1" customWidth="1"/>
    <col min="10501" max="10501" width="23.25" style="2715" hidden="1" customWidth="1"/>
    <col min="10502" max="10502" width="9" style="2715" hidden="1" customWidth="1"/>
    <col min="10503" max="10503" width="12.75" style="2715" hidden="1" customWidth="1"/>
    <col min="10504" max="10504" width="9" style="2715" hidden="1" customWidth="1"/>
    <col min="10505" max="10505" width="2.625" style="2715" hidden="1" customWidth="1"/>
    <col min="10506" max="10509" width="9" style="2715" hidden="1" customWidth="1"/>
    <col min="10510" max="10752" width="9" style="2715" hidden="1"/>
    <col min="10753" max="10753" width="1.875" style="2715" hidden="1" customWidth="1"/>
    <col min="10754" max="10754" width="2.5" style="2715" hidden="1" customWidth="1"/>
    <col min="10755" max="10755" width="11.625" style="2715" hidden="1" customWidth="1"/>
    <col min="10756" max="10756" width="19.875" style="2715" hidden="1" customWidth="1"/>
    <col min="10757" max="10757" width="23.25" style="2715" hidden="1" customWidth="1"/>
    <col min="10758" max="10758" width="9" style="2715" hidden="1" customWidth="1"/>
    <col min="10759" max="10759" width="12.75" style="2715" hidden="1" customWidth="1"/>
    <col min="10760" max="10760" width="9" style="2715" hidden="1" customWidth="1"/>
    <col min="10761" max="10761" width="2.625" style="2715" hidden="1" customWidth="1"/>
    <col min="10762" max="10765" width="9" style="2715" hidden="1" customWidth="1"/>
    <col min="10766" max="11008" width="9" style="2715" hidden="1"/>
    <col min="11009" max="11009" width="1.875" style="2715" hidden="1" customWidth="1"/>
    <col min="11010" max="11010" width="2.5" style="2715" hidden="1" customWidth="1"/>
    <col min="11011" max="11011" width="11.625" style="2715" hidden="1" customWidth="1"/>
    <col min="11012" max="11012" width="19.875" style="2715" hidden="1" customWidth="1"/>
    <col min="11013" max="11013" width="23.25" style="2715" hidden="1" customWidth="1"/>
    <col min="11014" max="11014" width="9" style="2715" hidden="1" customWidth="1"/>
    <col min="11015" max="11015" width="12.75" style="2715" hidden="1" customWidth="1"/>
    <col min="11016" max="11016" width="9" style="2715" hidden="1" customWidth="1"/>
    <col min="11017" max="11017" width="2.625" style="2715" hidden="1" customWidth="1"/>
    <col min="11018" max="11021" width="9" style="2715" hidden="1" customWidth="1"/>
    <col min="11022" max="11264" width="9" style="2715" hidden="1"/>
    <col min="11265" max="11265" width="1.875" style="2715" hidden="1" customWidth="1"/>
    <col min="11266" max="11266" width="2.5" style="2715" hidden="1" customWidth="1"/>
    <col min="11267" max="11267" width="11.625" style="2715" hidden="1" customWidth="1"/>
    <col min="11268" max="11268" width="19.875" style="2715" hidden="1" customWidth="1"/>
    <col min="11269" max="11269" width="23.25" style="2715" hidden="1" customWidth="1"/>
    <col min="11270" max="11270" width="9" style="2715" hidden="1" customWidth="1"/>
    <col min="11271" max="11271" width="12.75" style="2715" hidden="1" customWidth="1"/>
    <col min="11272" max="11272" width="9" style="2715" hidden="1" customWidth="1"/>
    <col min="11273" max="11273" width="2.625" style="2715" hidden="1" customWidth="1"/>
    <col min="11274" max="11277" width="9" style="2715" hidden="1" customWidth="1"/>
    <col min="11278" max="11520" width="9" style="2715" hidden="1"/>
    <col min="11521" max="11521" width="1.875" style="2715" hidden="1" customWidth="1"/>
    <col min="11522" max="11522" width="2.5" style="2715" hidden="1" customWidth="1"/>
    <col min="11523" max="11523" width="11.625" style="2715" hidden="1" customWidth="1"/>
    <col min="11524" max="11524" width="19.875" style="2715" hidden="1" customWidth="1"/>
    <col min="11525" max="11525" width="23.25" style="2715" hidden="1" customWidth="1"/>
    <col min="11526" max="11526" width="9" style="2715" hidden="1" customWidth="1"/>
    <col min="11527" max="11527" width="12.75" style="2715" hidden="1" customWidth="1"/>
    <col min="11528" max="11528" width="9" style="2715" hidden="1" customWidth="1"/>
    <col min="11529" max="11529" width="2.625" style="2715" hidden="1" customWidth="1"/>
    <col min="11530" max="11533" width="9" style="2715" hidden="1" customWidth="1"/>
    <col min="11534" max="11776" width="9" style="2715" hidden="1"/>
    <col min="11777" max="11777" width="1.875" style="2715" hidden="1" customWidth="1"/>
    <col min="11778" max="11778" width="2.5" style="2715" hidden="1" customWidth="1"/>
    <col min="11779" max="11779" width="11.625" style="2715" hidden="1" customWidth="1"/>
    <col min="11780" max="11780" width="19.875" style="2715" hidden="1" customWidth="1"/>
    <col min="11781" max="11781" width="23.25" style="2715" hidden="1" customWidth="1"/>
    <col min="11782" max="11782" width="9" style="2715" hidden="1" customWidth="1"/>
    <col min="11783" max="11783" width="12.75" style="2715" hidden="1" customWidth="1"/>
    <col min="11784" max="11784" width="9" style="2715" hidden="1" customWidth="1"/>
    <col min="11785" max="11785" width="2.625" style="2715" hidden="1" customWidth="1"/>
    <col min="11786" max="11789" width="9" style="2715" hidden="1" customWidth="1"/>
    <col min="11790" max="12032" width="9" style="2715" hidden="1"/>
    <col min="12033" max="12033" width="1.875" style="2715" hidden="1" customWidth="1"/>
    <col min="12034" max="12034" width="2.5" style="2715" hidden="1" customWidth="1"/>
    <col min="12035" max="12035" width="11.625" style="2715" hidden="1" customWidth="1"/>
    <col min="12036" max="12036" width="19.875" style="2715" hidden="1" customWidth="1"/>
    <col min="12037" max="12037" width="23.25" style="2715" hidden="1" customWidth="1"/>
    <col min="12038" max="12038" width="9" style="2715" hidden="1" customWidth="1"/>
    <col min="12039" max="12039" width="12.75" style="2715" hidden="1" customWidth="1"/>
    <col min="12040" max="12040" width="9" style="2715" hidden="1" customWidth="1"/>
    <col min="12041" max="12041" width="2.625" style="2715" hidden="1" customWidth="1"/>
    <col min="12042" max="12045" width="9" style="2715" hidden="1" customWidth="1"/>
    <col min="12046" max="12288" width="9" style="2715" hidden="1"/>
    <col min="12289" max="12289" width="1.875" style="2715" hidden="1" customWidth="1"/>
    <col min="12290" max="12290" width="2.5" style="2715" hidden="1" customWidth="1"/>
    <col min="12291" max="12291" width="11.625" style="2715" hidden="1" customWidth="1"/>
    <col min="12292" max="12292" width="19.875" style="2715" hidden="1" customWidth="1"/>
    <col min="12293" max="12293" width="23.25" style="2715" hidden="1" customWidth="1"/>
    <col min="12294" max="12294" width="9" style="2715" hidden="1" customWidth="1"/>
    <col min="12295" max="12295" width="12.75" style="2715" hidden="1" customWidth="1"/>
    <col min="12296" max="12296" width="9" style="2715" hidden="1" customWidth="1"/>
    <col min="12297" max="12297" width="2.625" style="2715" hidden="1" customWidth="1"/>
    <col min="12298" max="12301" width="9" style="2715" hidden="1" customWidth="1"/>
    <col min="12302" max="12544" width="9" style="2715" hidden="1"/>
    <col min="12545" max="12545" width="1.875" style="2715" hidden="1" customWidth="1"/>
    <col min="12546" max="12546" width="2.5" style="2715" hidden="1" customWidth="1"/>
    <col min="12547" max="12547" width="11.625" style="2715" hidden="1" customWidth="1"/>
    <col min="12548" max="12548" width="19.875" style="2715" hidden="1" customWidth="1"/>
    <col min="12549" max="12549" width="23.25" style="2715" hidden="1" customWidth="1"/>
    <col min="12550" max="12550" width="9" style="2715" hidden="1" customWidth="1"/>
    <col min="12551" max="12551" width="12.75" style="2715" hidden="1" customWidth="1"/>
    <col min="12552" max="12552" width="9" style="2715" hidden="1" customWidth="1"/>
    <col min="12553" max="12553" width="2.625" style="2715" hidden="1" customWidth="1"/>
    <col min="12554" max="12557" width="9" style="2715" hidden="1" customWidth="1"/>
    <col min="12558" max="12800" width="9" style="2715" hidden="1"/>
    <col min="12801" max="12801" width="1.875" style="2715" hidden="1" customWidth="1"/>
    <col min="12802" max="12802" width="2.5" style="2715" hidden="1" customWidth="1"/>
    <col min="12803" max="12803" width="11.625" style="2715" hidden="1" customWidth="1"/>
    <col min="12804" max="12804" width="19.875" style="2715" hidden="1" customWidth="1"/>
    <col min="12805" max="12805" width="23.25" style="2715" hidden="1" customWidth="1"/>
    <col min="12806" max="12806" width="9" style="2715" hidden="1" customWidth="1"/>
    <col min="12807" max="12807" width="12.75" style="2715" hidden="1" customWidth="1"/>
    <col min="12808" max="12808" width="9" style="2715" hidden="1" customWidth="1"/>
    <col min="12809" max="12809" width="2.625" style="2715" hidden="1" customWidth="1"/>
    <col min="12810" max="12813" width="9" style="2715" hidden="1" customWidth="1"/>
    <col min="12814" max="13056" width="9" style="2715" hidden="1"/>
    <col min="13057" max="13057" width="1.875" style="2715" hidden="1" customWidth="1"/>
    <col min="13058" max="13058" width="2.5" style="2715" hidden="1" customWidth="1"/>
    <col min="13059" max="13059" width="11.625" style="2715" hidden="1" customWidth="1"/>
    <col min="13060" max="13060" width="19.875" style="2715" hidden="1" customWidth="1"/>
    <col min="13061" max="13061" width="23.25" style="2715" hidden="1" customWidth="1"/>
    <col min="13062" max="13062" width="9" style="2715" hidden="1" customWidth="1"/>
    <col min="13063" max="13063" width="12.75" style="2715" hidden="1" customWidth="1"/>
    <col min="13064" max="13064" width="9" style="2715" hidden="1" customWidth="1"/>
    <col min="13065" max="13065" width="2.625" style="2715" hidden="1" customWidth="1"/>
    <col min="13066" max="13069" width="9" style="2715" hidden="1" customWidth="1"/>
    <col min="13070" max="13312" width="9" style="2715" hidden="1"/>
    <col min="13313" max="13313" width="1.875" style="2715" hidden="1" customWidth="1"/>
    <col min="13314" max="13314" width="2.5" style="2715" hidden="1" customWidth="1"/>
    <col min="13315" max="13315" width="11.625" style="2715" hidden="1" customWidth="1"/>
    <col min="13316" max="13316" width="19.875" style="2715" hidden="1" customWidth="1"/>
    <col min="13317" max="13317" width="23.25" style="2715" hidden="1" customWidth="1"/>
    <col min="13318" max="13318" width="9" style="2715" hidden="1" customWidth="1"/>
    <col min="13319" max="13319" width="12.75" style="2715" hidden="1" customWidth="1"/>
    <col min="13320" max="13320" width="9" style="2715" hidden="1" customWidth="1"/>
    <col min="13321" max="13321" width="2.625" style="2715" hidden="1" customWidth="1"/>
    <col min="13322" max="13325" width="9" style="2715" hidden="1" customWidth="1"/>
    <col min="13326" max="13568" width="9" style="2715" hidden="1"/>
    <col min="13569" max="13569" width="1.875" style="2715" hidden="1" customWidth="1"/>
    <col min="13570" max="13570" width="2.5" style="2715" hidden="1" customWidth="1"/>
    <col min="13571" max="13571" width="11.625" style="2715" hidden="1" customWidth="1"/>
    <col min="13572" max="13572" width="19.875" style="2715" hidden="1" customWidth="1"/>
    <col min="13573" max="13573" width="23.25" style="2715" hidden="1" customWidth="1"/>
    <col min="13574" max="13574" width="9" style="2715" hidden="1" customWidth="1"/>
    <col min="13575" max="13575" width="12.75" style="2715" hidden="1" customWidth="1"/>
    <col min="13576" max="13576" width="9" style="2715" hidden="1" customWidth="1"/>
    <col min="13577" max="13577" width="2.625" style="2715" hidden="1" customWidth="1"/>
    <col min="13578" max="13581" width="9" style="2715" hidden="1" customWidth="1"/>
    <col min="13582" max="13824" width="9" style="2715" hidden="1"/>
    <col min="13825" max="13825" width="1.875" style="2715" hidden="1" customWidth="1"/>
    <col min="13826" max="13826" width="2.5" style="2715" hidden="1" customWidth="1"/>
    <col min="13827" max="13827" width="11.625" style="2715" hidden="1" customWidth="1"/>
    <col min="13828" max="13828" width="19.875" style="2715" hidden="1" customWidth="1"/>
    <col min="13829" max="13829" width="23.25" style="2715" hidden="1" customWidth="1"/>
    <col min="13830" max="13830" width="9" style="2715" hidden="1" customWidth="1"/>
    <col min="13831" max="13831" width="12.75" style="2715" hidden="1" customWidth="1"/>
    <col min="13832" max="13832" width="9" style="2715" hidden="1" customWidth="1"/>
    <col min="13833" max="13833" width="2.625" style="2715" hidden="1" customWidth="1"/>
    <col min="13834" max="13837" width="9" style="2715" hidden="1" customWidth="1"/>
    <col min="13838" max="14080" width="9" style="2715" hidden="1"/>
    <col min="14081" max="14081" width="1.875" style="2715" hidden="1" customWidth="1"/>
    <col min="14082" max="14082" width="2.5" style="2715" hidden="1" customWidth="1"/>
    <col min="14083" max="14083" width="11.625" style="2715" hidden="1" customWidth="1"/>
    <col min="14084" max="14084" width="19.875" style="2715" hidden="1" customWidth="1"/>
    <col min="14085" max="14085" width="23.25" style="2715" hidden="1" customWidth="1"/>
    <col min="14086" max="14086" width="9" style="2715" hidden="1" customWidth="1"/>
    <col min="14087" max="14087" width="12.75" style="2715" hidden="1" customWidth="1"/>
    <col min="14088" max="14088" width="9" style="2715" hidden="1" customWidth="1"/>
    <col min="14089" max="14089" width="2.625" style="2715" hidden="1" customWidth="1"/>
    <col min="14090" max="14093" width="9" style="2715" hidden="1" customWidth="1"/>
    <col min="14094" max="14336" width="9" style="2715" hidden="1"/>
    <col min="14337" max="14337" width="1.875" style="2715" hidden="1" customWidth="1"/>
    <col min="14338" max="14338" width="2.5" style="2715" hidden="1" customWidth="1"/>
    <col min="14339" max="14339" width="11.625" style="2715" hidden="1" customWidth="1"/>
    <col min="14340" max="14340" width="19.875" style="2715" hidden="1" customWidth="1"/>
    <col min="14341" max="14341" width="23.25" style="2715" hidden="1" customWidth="1"/>
    <col min="14342" max="14342" width="9" style="2715" hidden="1" customWidth="1"/>
    <col min="14343" max="14343" width="12.75" style="2715" hidden="1" customWidth="1"/>
    <col min="14344" max="14344" width="9" style="2715" hidden="1" customWidth="1"/>
    <col min="14345" max="14345" width="2.625" style="2715" hidden="1" customWidth="1"/>
    <col min="14346" max="14349" width="9" style="2715" hidden="1" customWidth="1"/>
    <col min="14350" max="14592" width="9" style="2715" hidden="1"/>
    <col min="14593" max="14593" width="1.875" style="2715" hidden="1" customWidth="1"/>
    <col min="14594" max="14594" width="2.5" style="2715" hidden="1" customWidth="1"/>
    <col min="14595" max="14595" width="11.625" style="2715" hidden="1" customWidth="1"/>
    <col min="14596" max="14596" width="19.875" style="2715" hidden="1" customWidth="1"/>
    <col min="14597" max="14597" width="23.25" style="2715" hidden="1" customWidth="1"/>
    <col min="14598" max="14598" width="9" style="2715" hidden="1" customWidth="1"/>
    <col min="14599" max="14599" width="12.75" style="2715" hidden="1" customWidth="1"/>
    <col min="14600" max="14600" width="9" style="2715" hidden="1" customWidth="1"/>
    <col min="14601" max="14601" width="2.625" style="2715" hidden="1" customWidth="1"/>
    <col min="14602" max="14605" width="9" style="2715" hidden="1" customWidth="1"/>
    <col min="14606" max="14848" width="9" style="2715" hidden="1"/>
    <col min="14849" max="14849" width="1.875" style="2715" hidden="1" customWidth="1"/>
    <col min="14850" max="14850" width="2.5" style="2715" hidden="1" customWidth="1"/>
    <col min="14851" max="14851" width="11.625" style="2715" hidden="1" customWidth="1"/>
    <col min="14852" max="14852" width="19.875" style="2715" hidden="1" customWidth="1"/>
    <col min="14853" max="14853" width="23.25" style="2715" hidden="1" customWidth="1"/>
    <col min="14854" max="14854" width="9" style="2715" hidden="1" customWidth="1"/>
    <col min="14855" max="14855" width="12.75" style="2715" hidden="1" customWidth="1"/>
    <col min="14856" max="14856" width="9" style="2715" hidden="1" customWidth="1"/>
    <col min="14857" max="14857" width="2.625" style="2715" hidden="1" customWidth="1"/>
    <col min="14858" max="14861" width="9" style="2715" hidden="1" customWidth="1"/>
    <col min="14862" max="15104" width="9" style="2715" hidden="1"/>
    <col min="15105" max="15105" width="1.875" style="2715" hidden="1" customWidth="1"/>
    <col min="15106" max="15106" width="2.5" style="2715" hidden="1" customWidth="1"/>
    <col min="15107" max="15107" width="11.625" style="2715" hidden="1" customWidth="1"/>
    <col min="15108" max="15108" width="19.875" style="2715" hidden="1" customWidth="1"/>
    <col min="15109" max="15109" width="23.25" style="2715" hidden="1" customWidth="1"/>
    <col min="15110" max="15110" width="9" style="2715" hidden="1" customWidth="1"/>
    <col min="15111" max="15111" width="12.75" style="2715" hidden="1" customWidth="1"/>
    <col min="15112" max="15112" width="9" style="2715" hidden="1" customWidth="1"/>
    <col min="15113" max="15113" width="2.625" style="2715" hidden="1" customWidth="1"/>
    <col min="15114" max="15117" width="9" style="2715" hidden="1" customWidth="1"/>
    <col min="15118" max="15360" width="9" style="2715" hidden="1"/>
    <col min="15361" max="15361" width="1.875" style="2715" hidden="1" customWidth="1"/>
    <col min="15362" max="15362" width="2.5" style="2715" hidden="1" customWidth="1"/>
    <col min="15363" max="15363" width="11.625" style="2715" hidden="1" customWidth="1"/>
    <col min="15364" max="15364" width="19.875" style="2715" hidden="1" customWidth="1"/>
    <col min="15365" max="15365" width="23.25" style="2715" hidden="1" customWidth="1"/>
    <col min="15366" max="15366" width="9" style="2715" hidden="1" customWidth="1"/>
    <col min="15367" max="15367" width="12.75" style="2715" hidden="1" customWidth="1"/>
    <col min="15368" max="15368" width="9" style="2715" hidden="1" customWidth="1"/>
    <col min="15369" max="15369" width="2.625" style="2715" hidden="1" customWidth="1"/>
    <col min="15370" max="15373" width="9" style="2715" hidden="1" customWidth="1"/>
    <col min="15374" max="15616" width="9" style="2715" hidden="1"/>
    <col min="15617" max="15617" width="1.875" style="2715" hidden="1" customWidth="1"/>
    <col min="15618" max="15618" width="2.5" style="2715" hidden="1" customWidth="1"/>
    <col min="15619" max="15619" width="11.625" style="2715" hidden="1" customWidth="1"/>
    <col min="15620" max="15620" width="19.875" style="2715" hidden="1" customWidth="1"/>
    <col min="15621" max="15621" width="23.25" style="2715" hidden="1" customWidth="1"/>
    <col min="15622" max="15622" width="9" style="2715" hidden="1" customWidth="1"/>
    <col min="15623" max="15623" width="12.75" style="2715" hidden="1" customWidth="1"/>
    <col min="15624" max="15624" width="9" style="2715" hidden="1" customWidth="1"/>
    <col min="15625" max="15625" width="2.625" style="2715" hidden="1" customWidth="1"/>
    <col min="15626" max="15629" width="9" style="2715" hidden="1" customWidth="1"/>
    <col min="15630" max="15872" width="9" style="2715" hidden="1"/>
    <col min="15873" max="15873" width="1.875" style="2715" hidden="1" customWidth="1"/>
    <col min="15874" max="15874" width="2.5" style="2715" hidden="1" customWidth="1"/>
    <col min="15875" max="15875" width="11.625" style="2715" hidden="1" customWidth="1"/>
    <col min="15876" max="15876" width="19.875" style="2715" hidden="1" customWidth="1"/>
    <col min="15877" max="15877" width="23.25" style="2715" hidden="1" customWidth="1"/>
    <col min="15878" max="15878" width="9" style="2715" hidden="1" customWidth="1"/>
    <col min="15879" max="15879" width="12.75" style="2715" hidden="1" customWidth="1"/>
    <col min="15880" max="15880" width="9" style="2715" hidden="1" customWidth="1"/>
    <col min="15881" max="15881" width="2.625" style="2715" hidden="1" customWidth="1"/>
    <col min="15882" max="15885" width="9" style="2715" hidden="1" customWidth="1"/>
    <col min="15886" max="16128" width="9" style="2715" hidden="1"/>
    <col min="16129" max="16129" width="1.875" style="2715" hidden="1" customWidth="1"/>
    <col min="16130" max="16130" width="2.5" style="2715" hidden="1" customWidth="1"/>
    <col min="16131" max="16131" width="11.625" style="2715" hidden="1" customWidth="1"/>
    <col min="16132" max="16132" width="19.875" style="2715" hidden="1" customWidth="1"/>
    <col min="16133" max="16133" width="23.25" style="2715" hidden="1" customWidth="1"/>
    <col min="16134" max="16134" width="9" style="2715" hidden="1" customWidth="1"/>
    <col min="16135" max="16135" width="12.75" style="2715" hidden="1" customWidth="1"/>
    <col min="16136" max="16136" width="9" style="2715" hidden="1" customWidth="1"/>
    <col min="16137" max="16137" width="2.625" style="2715" hidden="1" customWidth="1"/>
    <col min="16138" max="16141" width="0" style="2715" hidden="1" customWidth="1"/>
    <col min="16142" max="16384" width="0" style="2715" hidden="1"/>
  </cols>
  <sheetData>
    <row r="1" spans="2:13" ht="13.5" customHeight="1"/>
    <row r="2" spans="2:13" ht="13.5" customHeight="1"/>
    <row r="3" spans="2:13" ht="13.5" customHeight="1"/>
    <row r="4" spans="2:13" ht="13.5" customHeight="1"/>
    <row r="5" spans="2:13" ht="13.5" customHeight="1" thickBot="1"/>
    <row r="6" spans="2:13" ht="18" customHeight="1" thickBot="1">
      <c r="B6" s="2830" t="s">
        <v>3346</v>
      </c>
      <c r="C6" s="2831"/>
      <c r="D6" s="2831"/>
      <c r="E6" s="2831"/>
      <c r="F6" s="2831"/>
      <c r="G6" s="2831"/>
      <c r="H6" s="2832"/>
    </row>
    <row r="7" spans="2:13" ht="13.5" customHeight="1" thickBot="1">
      <c r="B7" s="2833" t="str">
        <f>メイン!C11</f>
        <v>○○ビル</v>
      </c>
      <c r="C7" s="2834"/>
      <c r="D7" s="2834"/>
      <c r="E7" s="2834"/>
      <c r="F7" s="2834"/>
      <c r="G7" s="2834"/>
      <c r="H7" s="2835"/>
    </row>
    <row r="8" spans="2:13" ht="13.5" customHeight="1">
      <c r="C8" s="2717" t="s">
        <v>3347</v>
      </c>
      <c r="D8" s="2717"/>
      <c r="E8" s="2836" t="str">
        <f>メイン!C6</f>
        <v>CASBEE-建築(新築)2014年版、名古屋市建築物環境配慮制度運用マニュアル2014</v>
      </c>
      <c r="F8" s="2836"/>
      <c r="G8" s="2836"/>
      <c r="H8" s="2836"/>
    </row>
    <row r="9" spans="2:13" ht="13.5" customHeight="1">
      <c r="C9" s="2677" t="s">
        <v>3348</v>
      </c>
      <c r="D9" s="2677"/>
      <c r="E9" s="2837" t="str">
        <f>メイン!C5</f>
        <v>CASBEE_Nagoya_2014(v.1.22)</v>
      </c>
      <c r="F9" s="2837"/>
      <c r="G9" s="2837"/>
      <c r="H9" s="2837"/>
    </row>
    <row r="10" spans="2:13" ht="13.5" customHeight="1" thickBot="1">
      <c r="L10" s="1599" t="s">
        <v>3349</v>
      </c>
    </row>
    <row r="11" spans="2:13" ht="30" customHeight="1" thickBot="1">
      <c r="B11" s="2838" t="s">
        <v>3350</v>
      </c>
      <c r="C11" s="2839"/>
      <c r="D11" s="2839"/>
      <c r="E11" s="2839"/>
      <c r="F11" s="2718" t="s">
        <v>3351</v>
      </c>
      <c r="G11" s="2719" t="s">
        <v>3352</v>
      </c>
      <c r="H11" s="2720" t="s">
        <v>3353</v>
      </c>
    </row>
    <row r="12" spans="2:13" ht="18" customHeight="1">
      <c r="B12" s="2809" t="s">
        <v>3354</v>
      </c>
      <c r="C12" s="2810"/>
      <c r="D12" s="2810"/>
      <c r="E12" s="2810"/>
      <c r="F12" s="2810"/>
      <c r="G12" s="2811"/>
      <c r="H12" s="2721">
        <f>ROUND((F13*G13+F14*G14+F15*G15)/(G13+G14+G15),1)</f>
        <v>3.5</v>
      </c>
      <c r="L12" s="1" t="s">
        <v>3355</v>
      </c>
      <c r="M12" s="1" t="s">
        <v>3356</v>
      </c>
    </row>
    <row r="13" spans="2:13" ht="13.5" customHeight="1">
      <c r="B13" s="2722"/>
      <c r="C13" s="1526" t="s">
        <v>1901</v>
      </c>
      <c r="D13" s="2812" t="s">
        <v>3357</v>
      </c>
      <c r="E13" s="2813"/>
      <c r="F13" s="2723">
        <f>スコア!Z117</f>
        <v>3.7</v>
      </c>
      <c r="G13" s="2724">
        <f>スコア!W117</f>
        <v>0.4</v>
      </c>
      <c r="H13" s="2725"/>
      <c r="L13" s="1">
        <f>IF(H12&lt;1.5,1,IF(H12&lt;2.5,2,IF(H12&lt;3.5,3,IF(H12&lt;4.5,4,5))))/5</f>
        <v>0.8</v>
      </c>
      <c r="M13" s="1">
        <f>1-L13</f>
        <v>0.19999999999999996</v>
      </c>
    </row>
    <row r="14" spans="2:13" ht="13.5" customHeight="1">
      <c r="B14" s="2726"/>
      <c r="C14" s="2714" t="s">
        <v>3358</v>
      </c>
      <c r="D14" s="2814" t="s">
        <v>3359</v>
      </c>
      <c r="E14" s="2815"/>
      <c r="F14" s="2727">
        <f>スコア!Z160</f>
        <v>3.2</v>
      </c>
      <c r="G14" s="2728">
        <f>スコア!W159*スコア!W160</f>
        <v>9.9999999999999992E-2</v>
      </c>
      <c r="H14" s="2729"/>
    </row>
    <row r="15" spans="2:13" ht="13.5" customHeight="1" thickBot="1">
      <c r="B15" s="2730"/>
      <c r="C15" s="2731" t="s">
        <v>3360</v>
      </c>
      <c r="D15" s="2816" t="s">
        <v>3361</v>
      </c>
      <c r="E15" s="2817"/>
      <c r="F15" s="2732">
        <f>スコア!V163</f>
        <v>3</v>
      </c>
      <c r="G15" s="2733">
        <f>スコア!W159*スコア!W161*スコア!W163</f>
        <v>4.9999999999999996E-2</v>
      </c>
      <c r="H15" s="2734"/>
    </row>
    <row r="16" spans="2:13" ht="18" customHeight="1">
      <c r="B16" s="2809" t="s">
        <v>3362</v>
      </c>
      <c r="C16" s="2810"/>
      <c r="D16" s="2810"/>
      <c r="E16" s="2810"/>
      <c r="F16" s="2810"/>
      <c r="G16" s="2811"/>
      <c r="H16" s="2735">
        <f>ROUND((F17*G17+L26*G18+F20*G20)/(G17+G18+G20),1)</f>
        <v>3.1</v>
      </c>
      <c r="L16" s="1" t="s">
        <v>3355</v>
      </c>
      <c r="M16" s="1" t="s">
        <v>3356</v>
      </c>
    </row>
    <row r="17" spans="2:13" ht="13.5" customHeight="1">
      <c r="B17" s="2722"/>
      <c r="C17" s="1526" t="s">
        <v>3363</v>
      </c>
      <c r="D17" s="2812" t="s">
        <v>3364</v>
      </c>
      <c r="E17" s="2813"/>
      <c r="F17" s="2723">
        <f>スコア!Z110</f>
        <v>3</v>
      </c>
      <c r="G17" s="2724">
        <f>スコア!W109*スコア!W110</f>
        <v>0.09</v>
      </c>
      <c r="H17" s="2725"/>
      <c r="L17" s="1">
        <f>IF(H16&lt;1.5,1,IF(H16&lt;2.5,2,IF(H16&lt;3.5,3,IF(H16&lt;4.5,4,5))))/5</f>
        <v>0.6</v>
      </c>
      <c r="M17" s="1">
        <f>1-L17</f>
        <v>0.4</v>
      </c>
    </row>
    <row r="18" spans="2:13" ht="13.5">
      <c r="B18" s="2736"/>
      <c r="C18" s="2737" t="s">
        <v>3365</v>
      </c>
      <c r="D18" s="2738" t="s">
        <v>3366</v>
      </c>
      <c r="E18" s="2818" t="s">
        <v>3367</v>
      </c>
      <c r="F18" s="2820" t="str">
        <f>IF(OR(採点Q3!G65=1,採点Q3!G46=1),"有","無")</f>
        <v>有</v>
      </c>
      <c r="G18" s="2822">
        <f>スコア!W109*スコア!W112*スコア!W113*0.2</f>
        <v>8.9999999999999993E-3</v>
      </c>
      <c r="H18" s="2805"/>
    </row>
    <row r="19" spans="2:13" ht="13.5">
      <c r="B19" s="2739"/>
      <c r="C19" s="2740" t="s">
        <v>3368</v>
      </c>
      <c r="D19" s="2741" t="s">
        <v>1526</v>
      </c>
      <c r="E19" s="2819"/>
      <c r="F19" s="2821"/>
      <c r="G19" s="2823"/>
      <c r="H19" s="2806"/>
    </row>
    <row r="20" spans="2:13" ht="13.5" customHeight="1" thickBot="1">
      <c r="B20" s="2742"/>
      <c r="C20" s="2743" t="s">
        <v>3369</v>
      </c>
      <c r="D20" s="2807" t="s">
        <v>3370</v>
      </c>
      <c r="E20" s="2808"/>
      <c r="F20" s="2744">
        <f>スコア!V114</f>
        <v>3</v>
      </c>
      <c r="G20" s="2745">
        <f>スコア!W109*スコア!W112*スコア!W114</f>
        <v>4.4999999999999998E-2</v>
      </c>
      <c r="H20" s="2725"/>
    </row>
    <row r="21" spans="2:13" ht="18" customHeight="1">
      <c r="B21" s="2809" t="s">
        <v>3371</v>
      </c>
      <c r="C21" s="2810"/>
      <c r="D21" s="2810"/>
      <c r="E21" s="2810"/>
      <c r="F21" s="2810"/>
      <c r="G21" s="2811"/>
      <c r="H21" s="2721">
        <f>ROUND((F22*G22+F23*G23+F24*G24)/(G22+G23+G24),1)</f>
        <v>3</v>
      </c>
      <c r="L21" s="1" t="s">
        <v>3355</v>
      </c>
      <c r="M21" s="1" t="s">
        <v>3356</v>
      </c>
    </row>
    <row r="22" spans="2:13" ht="13.5" customHeight="1">
      <c r="B22" s="2722"/>
      <c r="C22" s="1526" t="s">
        <v>3372</v>
      </c>
      <c r="D22" s="2812" t="s">
        <v>3373</v>
      </c>
      <c r="E22" s="2813"/>
      <c r="F22" s="2723">
        <f>スコア!Z141</f>
        <v>3</v>
      </c>
      <c r="G22" s="2724">
        <f>スコア!W140*スコア!W141</f>
        <v>0.06</v>
      </c>
      <c r="H22" s="2725"/>
      <c r="L22" s="1">
        <f>IF(H21&lt;1.5,1,IF(H21&lt;2.5,2,IF(H21&lt;3.5,3,IF(H21&lt;4.5,4,5))))/5</f>
        <v>0.6</v>
      </c>
      <c r="M22" s="1">
        <f>1-L22</f>
        <v>0.4</v>
      </c>
    </row>
    <row r="23" spans="2:13" ht="13.5" customHeight="1">
      <c r="B23" s="2726"/>
      <c r="C23" s="2714" t="s">
        <v>3374</v>
      </c>
      <c r="D23" s="2814" t="s">
        <v>3375</v>
      </c>
      <c r="E23" s="2815"/>
      <c r="F23" s="2727">
        <f>スコア!Z146</f>
        <v>3.0000000000000004</v>
      </c>
      <c r="G23" s="2728">
        <f>スコア!W140*スコア!W146</f>
        <v>0.18</v>
      </c>
      <c r="H23" s="2729"/>
    </row>
    <row r="24" spans="2:13" ht="13.5" customHeight="1" thickBot="1">
      <c r="B24" s="2730"/>
      <c r="C24" s="2731" t="s">
        <v>3376</v>
      </c>
      <c r="D24" s="2816" t="s">
        <v>3377</v>
      </c>
      <c r="E24" s="2817"/>
      <c r="F24" s="2732">
        <f>(スコア!V164-スコア!V167*スコア!W167)/(1-スコア!W167)</f>
        <v>3</v>
      </c>
      <c r="G24" s="2733">
        <f>(スコア!W159*スコア!W161*スコア!W164)*(1-スコア!W167)</f>
        <v>1.8749999999999999E-2</v>
      </c>
      <c r="H24" s="2746"/>
    </row>
    <row r="25" spans="2:13" ht="13.5" customHeight="1" thickBot="1">
      <c r="L25" s="2747" t="s">
        <v>3378</v>
      </c>
    </row>
    <row r="26" spans="2:13" ht="18" customHeight="1">
      <c r="B26" s="2824" t="s">
        <v>3379</v>
      </c>
      <c r="C26" s="2825"/>
      <c r="D26" s="2825"/>
      <c r="E26" s="2825"/>
      <c r="F26" s="2825"/>
      <c r="G26" s="2825"/>
      <c r="H26" s="2826"/>
      <c r="L26" s="2727">
        <f>IF(OR(採点Q3!G65=1,採点Q3!G46=1),5,1)</f>
        <v>5</v>
      </c>
    </row>
    <row r="27" spans="2:13" ht="13.5" customHeight="1">
      <c r="B27" s="2827" t="s">
        <v>3354</v>
      </c>
      <c r="C27" s="2828"/>
      <c r="D27" s="2828"/>
      <c r="E27" s="2829" t="s">
        <v>3380</v>
      </c>
      <c r="F27" s="2829"/>
      <c r="G27" s="2748">
        <f>H12</f>
        <v>3.5</v>
      </c>
      <c r="H27" s="2749"/>
    </row>
    <row r="28" spans="2:13" ht="13.5" customHeight="1">
      <c r="B28" s="2722"/>
      <c r="C28" s="1526"/>
      <c r="D28" s="1526"/>
      <c r="E28" s="1526"/>
      <c r="F28" s="1526"/>
      <c r="G28" s="1526"/>
      <c r="H28" s="2749"/>
    </row>
    <row r="29" spans="2:13" ht="13.5" customHeight="1">
      <c r="B29" s="2722"/>
      <c r="C29" s="1526"/>
      <c r="D29" s="1526"/>
      <c r="E29" s="1526"/>
      <c r="F29" s="1526"/>
      <c r="G29" s="1526"/>
      <c r="H29" s="2749"/>
    </row>
    <row r="30" spans="2:13" ht="13.5" customHeight="1">
      <c r="B30" s="2722"/>
      <c r="C30" s="1526"/>
      <c r="D30" s="1526"/>
      <c r="E30" s="1526"/>
      <c r="F30" s="1526"/>
      <c r="G30" s="1526"/>
      <c r="H30" s="2749"/>
    </row>
    <row r="31" spans="2:13" ht="13.5" customHeight="1" thickBot="1">
      <c r="B31" s="2722"/>
      <c r="C31" s="1526"/>
      <c r="D31" s="1526"/>
      <c r="E31" s="1526"/>
      <c r="F31" s="1526"/>
      <c r="G31" s="1526"/>
      <c r="H31" s="2749"/>
    </row>
    <row r="32" spans="2:13" ht="13.5" customHeight="1">
      <c r="B32" s="2802" t="s">
        <v>3362</v>
      </c>
      <c r="C32" s="2803"/>
      <c r="D32" s="2803"/>
      <c r="E32" s="2804" t="s">
        <v>3381</v>
      </c>
      <c r="F32" s="2804"/>
      <c r="G32" s="2750">
        <f>H16</f>
        <v>3.1</v>
      </c>
      <c r="H32" s="2751"/>
    </row>
    <row r="33" spans="2:13" ht="13.5" customHeight="1">
      <c r="B33" s="2722"/>
      <c r="C33" s="1526"/>
      <c r="D33" s="1526"/>
      <c r="E33" s="1526"/>
      <c r="F33" s="1526"/>
      <c r="G33" s="1526"/>
      <c r="H33" s="2749"/>
    </row>
    <row r="34" spans="2:13" ht="13.5" customHeight="1">
      <c r="B34" s="2722"/>
      <c r="C34" s="1526"/>
      <c r="D34" s="1526"/>
      <c r="E34" s="1526"/>
      <c r="F34" s="1526"/>
      <c r="G34" s="1526"/>
      <c r="H34" s="2749"/>
    </row>
    <row r="35" spans="2:13" ht="13.5" customHeight="1">
      <c r="B35" s="2722"/>
      <c r="C35" s="1526"/>
      <c r="D35" s="1526"/>
      <c r="E35" s="1526"/>
      <c r="F35" s="1526"/>
      <c r="G35" s="1526"/>
      <c r="H35" s="2749"/>
    </row>
    <row r="36" spans="2:13" ht="13.5" customHeight="1" thickBot="1">
      <c r="B36" s="2730"/>
      <c r="C36" s="2731"/>
      <c r="D36" s="2731"/>
      <c r="E36" s="2731"/>
      <c r="F36" s="2731"/>
      <c r="G36" s="2731"/>
      <c r="H36" s="2752"/>
      <c r="L36" s="2753" t="s">
        <v>3382</v>
      </c>
      <c r="M36" s="1" t="s">
        <v>3383</v>
      </c>
    </row>
    <row r="37" spans="2:13" ht="13.5" customHeight="1">
      <c r="B37" s="2802" t="s">
        <v>3371</v>
      </c>
      <c r="C37" s="2803"/>
      <c r="D37" s="2803"/>
      <c r="E37" s="2804" t="s">
        <v>3381</v>
      </c>
      <c r="F37" s="2804"/>
      <c r="G37" s="2748">
        <f>H21</f>
        <v>3</v>
      </c>
      <c r="H37" s="2749"/>
      <c r="L37" s="1" t="s">
        <v>3384</v>
      </c>
      <c r="M37" s="1" t="s">
        <v>3385</v>
      </c>
    </row>
    <row r="38" spans="2:13" ht="13.5" customHeight="1">
      <c r="B38" s="2722"/>
      <c r="C38" s="1526"/>
      <c r="D38" s="1526"/>
      <c r="E38" s="1526"/>
      <c r="F38" s="1526"/>
      <c r="G38" s="1526"/>
      <c r="H38" s="2749"/>
      <c r="L38" s="1" t="s">
        <v>3386</v>
      </c>
      <c r="M38" s="1" t="s">
        <v>3387</v>
      </c>
    </row>
    <row r="39" spans="2:13" ht="13.5" customHeight="1">
      <c r="B39" s="2722"/>
      <c r="C39" s="1526"/>
      <c r="D39" s="1526"/>
      <c r="E39" s="1526"/>
      <c r="F39" s="1526"/>
      <c r="G39" s="1526"/>
      <c r="H39" s="2749"/>
      <c r="L39" s="1" t="s">
        <v>3388</v>
      </c>
      <c r="M39" s="1" t="s">
        <v>3389</v>
      </c>
    </row>
    <row r="40" spans="2:13" ht="13.5" customHeight="1">
      <c r="B40" s="2722"/>
      <c r="C40" s="1526"/>
      <c r="D40" s="1526"/>
      <c r="E40" s="1526"/>
      <c r="F40" s="1526"/>
      <c r="G40" s="1526"/>
      <c r="H40" s="2749"/>
      <c r="L40" s="1" t="s">
        <v>3390</v>
      </c>
      <c r="M40" s="1" t="s">
        <v>3391</v>
      </c>
    </row>
    <row r="41" spans="2:13" ht="13.5" customHeight="1" thickBot="1">
      <c r="B41" s="2730"/>
      <c r="C41" s="2731"/>
      <c r="D41" s="2731"/>
      <c r="E41" s="2731"/>
      <c r="F41" s="2731"/>
      <c r="G41" s="2731"/>
      <c r="H41" s="2752"/>
      <c r="L41" s="1" t="s">
        <v>3392</v>
      </c>
      <c r="M41" s="1" t="s">
        <v>3393</v>
      </c>
    </row>
    <row r="42" spans="2:13" ht="13.5" customHeight="1"/>
    <row r="43" spans="2:13" ht="13.5" customHeight="1"/>
    <row r="44" spans="2:13" ht="13.5" customHeight="1"/>
    <row r="45" spans="2:13" ht="13.5" customHeight="1"/>
    <row r="46" spans="2:13" ht="13.5" customHeight="1"/>
    <row r="47" spans="2:13" ht="13.5" customHeight="1"/>
    <row r="48" spans="2:13"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hidden="1" customHeight="1"/>
    <row r="59" ht="13.5" hidden="1" customHeight="1"/>
  </sheetData>
  <sheetProtection password="9DA9" sheet="1" objects="1" scenarios="1"/>
  <mergeCells count="27">
    <mergeCell ref="B12:G12"/>
    <mergeCell ref="B6:H6"/>
    <mergeCell ref="B7:H7"/>
    <mergeCell ref="E8:H8"/>
    <mergeCell ref="E9:H9"/>
    <mergeCell ref="B11:E11"/>
    <mergeCell ref="D13:E13"/>
    <mergeCell ref="D14:E14"/>
    <mergeCell ref="D15:E15"/>
    <mergeCell ref="B16:G16"/>
    <mergeCell ref="D17:E17"/>
    <mergeCell ref="B37:D37"/>
    <mergeCell ref="E37:F37"/>
    <mergeCell ref="H18:H19"/>
    <mergeCell ref="D20:E20"/>
    <mergeCell ref="B21:G21"/>
    <mergeCell ref="D22:E22"/>
    <mergeCell ref="D23:E23"/>
    <mergeCell ref="D24:E24"/>
    <mergeCell ref="E18:E19"/>
    <mergeCell ref="F18:F19"/>
    <mergeCell ref="G18:G19"/>
    <mergeCell ref="B26:H26"/>
    <mergeCell ref="B27:D27"/>
    <mergeCell ref="E27:F27"/>
    <mergeCell ref="B32:D32"/>
    <mergeCell ref="E32:F32"/>
  </mergeCells>
  <phoneticPr fontId="21"/>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F181"/>
  <sheetViews>
    <sheetView showGridLines="0" zoomScaleNormal="100" workbookViewId="0">
      <selection activeCell="B3" sqref="B3:F3"/>
    </sheetView>
  </sheetViews>
  <sheetFormatPr defaultColWidth="0" defaultRowHeight="13.5" zeroHeight="1"/>
  <cols>
    <col min="1" max="1" width="1.75" customWidth="1"/>
    <col min="2" max="2" width="4" customWidth="1"/>
    <col min="3" max="3" width="5.125" customWidth="1"/>
    <col min="4" max="4" width="5.375" customWidth="1"/>
    <col min="5" max="6" width="12.625" customWidth="1"/>
    <col min="7" max="7" width="6.375" hidden="1" customWidth="1"/>
    <col min="8" max="10" width="9.25" customWidth="1"/>
    <col min="11" max="11" width="11.875" customWidth="1"/>
    <col min="12" max="12" width="9.25" customWidth="1"/>
    <col min="13" max="13" width="9.625" customWidth="1"/>
    <col min="14" max="14" width="6.625" customWidth="1"/>
    <col min="15" max="15" width="9.625" customWidth="1"/>
    <col min="16" max="16" width="6.625" customWidth="1"/>
    <col min="17" max="17" width="5.75" customWidth="1"/>
    <col min="18" max="18" width="1.875" customWidth="1"/>
    <col min="19" max="32" width="6.375" hidden="1" customWidth="1"/>
    <col min="33" max="41" width="6.625" hidden="1" customWidth="1"/>
    <col min="42" max="42" width="7.5" hidden="1" customWidth="1"/>
    <col min="43" max="45" width="0" hidden="1" customWidth="1"/>
    <col min="46" max="46" width="0" style="2614" hidden="1" customWidth="1"/>
    <col min="47" max="47" width="2.75" style="2614" hidden="1" customWidth="1"/>
    <col min="48" max="48" width="6.75" style="2614" hidden="1" customWidth="1"/>
    <col min="49" max="58" width="0" hidden="1" customWidth="1"/>
    <col min="59" max="16384" width="9" hidden="1"/>
  </cols>
  <sheetData>
    <row r="1" spans="2:58" ht="6" customHeight="1" thickBot="1"/>
    <row r="2" spans="2:58" ht="18" thickBot="1">
      <c r="B2" s="572" t="str">
        <f>メイン!C5</f>
        <v>CASBEE_Nagoya_2014(v.1.22)</v>
      </c>
      <c r="C2" s="573"/>
      <c r="D2" s="574"/>
      <c r="E2" s="575"/>
      <c r="F2" s="576"/>
      <c r="G2" s="577" t="s">
        <v>2827</v>
      </c>
      <c r="H2" s="578"/>
      <c r="I2" s="578"/>
      <c r="L2" s="2858" t="s">
        <v>2344</v>
      </c>
      <c r="M2" s="2858"/>
      <c r="N2" s="2843" t="str">
        <f>メイン!C6</f>
        <v>CASBEE-建築(新築)2014年版、名古屋市建築物環境配慮制度運用マニュアル2014</v>
      </c>
      <c r="O2" s="2843"/>
      <c r="P2" s="2843"/>
      <c r="Q2" s="2843"/>
      <c r="R2" s="580"/>
      <c r="S2" s="580"/>
      <c r="T2" s="580"/>
      <c r="V2" s="2644"/>
      <c r="W2" s="2644"/>
      <c r="AM2" s="1221" t="s">
        <v>2344</v>
      </c>
      <c r="AO2" s="1221"/>
      <c r="AP2" s="193" t="str">
        <f>メイン!C6</f>
        <v>CASBEE-建築(新築)2014年版、名古屋市建築物環境配慮制度運用マニュアル2014</v>
      </c>
      <c r="AQ2" s="193"/>
      <c r="AW2" s="2055" t="s">
        <v>512</v>
      </c>
      <c r="AX2" s="2055" t="s">
        <v>514</v>
      </c>
      <c r="AY2" s="2055" t="s">
        <v>516</v>
      </c>
      <c r="AZ2" s="2055" t="s">
        <v>518</v>
      </c>
      <c r="BA2" s="2055" t="s">
        <v>522</v>
      </c>
      <c r="BB2" s="2055" t="s">
        <v>524</v>
      </c>
      <c r="BC2" s="2055" t="s">
        <v>526</v>
      </c>
      <c r="BD2" s="2056" t="s">
        <v>2129</v>
      </c>
      <c r="BE2" s="2055" t="s">
        <v>528</v>
      </c>
      <c r="BF2" s="2055" t="s">
        <v>514</v>
      </c>
    </row>
    <row r="3" spans="2:58" ht="14.25" customHeight="1" thickBot="1">
      <c r="B3" s="2840" t="str">
        <f>メイン!$C$11</f>
        <v>○○ビル</v>
      </c>
      <c r="C3" s="2841"/>
      <c r="D3" s="2841"/>
      <c r="E3" s="2841"/>
      <c r="F3" s="2842"/>
      <c r="G3" s="581"/>
      <c r="H3" s="578"/>
      <c r="I3" s="582"/>
      <c r="J3" s="583" t="s">
        <v>2828</v>
      </c>
      <c r="K3" s="578"/>
      <c r="L3" s="2858" t="s">
        <v>2829</v>
      </c>
      <c r="M3" s="2859"/>
      <c r="N3" s="584" t="str">
        <f>メイン!C5</f>
        <v>CASBEE_Nagoya_2014(v.1.22)</v>
      </c>
      <c r="P3" s="585"/>
      <c r="Q3" s="585"/>
      <c r="R3" s="586"/>
      <c r="S3" s="586"/>
      <c r="T3" s="586"/>
      <c r="V3" s="2644"/>
      <c r="W3" s="2644"/>
      <c r="AM3" s="1221" t="s">
        <v>2829</v>
      </c>
      <c r="AO3" s="2677"/>
      <c r="AP3" s="584" t="str">
        <f>メイン!C5</f>
        <v>CASBEE_Nagoya_2014(v.1.22)</v>
      </c>
      <c r="AQ3" s="584"/>
      <c r="AW3" s="2623">
        <f>重み!S7</f>
        <v>1</v>
      </c>
      <c r="AX3" s="2623">
        <f>重み!T7</f>
        <v>0</v>
      </c>
      <c r="AY3" s="2623">
        <f>重み!U7</f>
        <v>0</v>
      </c>
      <c r="AZ3" s="2623">
        <f>重み!V7</f>
        <v>0</v>
      </c>
      <c r="BA3" s="2623">
        <f>重み!W7</f>
        <v>0</v>
      </c>
      <c r="BB3" s="2623">
        <f>重み!X7</f>
        <v>0</v>
      </c>
      <c r="BC3" s="2623">
        <f>重み!Y7</f>
        <v>0</v>
      </c>
      <c r="BD3" s="2623">
        <f>重み!Z7</f>
        <v>0</v>
      </c>
      <c r="BE3" s="2623">
        <f>重み!AA7</f>
        <v>0</v>
      </c>
      <c r="BF3" s="2623">
        <f>重み!AB7</f>
        <v>0</v>
      </c>
    </row>
    <row r="4" spans="2:58" ht="3.75" customHeight="1" thickBot="1">
      <c r="B4" s="587"/>
      <c r="C4" s="588"/>
      <c r="D4" s="589"/>
      <c r="E4" s="590"/>
      <c r="F4" s="590"/>
      <c r="G4" s="590"/>
      <c r="H4" s="590"/>
      <c r="I4" s="590"/>
      <c r="J4" s="590"/>
      <c r="K4" s="590"/>
      <c r="L4" s="591"/>
      <c r="M4" s="591"/>
      <c r="N4" s="590"/>
      <c r="O4" s="590"/>
      <c r="P4" s="590"/>
      <c r="Q4" s="592"/>
      <c r="R4" s="586"/>
      <c r="S4" s="586"/>
      <c r="T4" s="586"/>
      <c r="AW4" s="586"/>
      <c r="AX4" s="586"/>
      <c r="AY4" s="586"/>
      <c r="AZ4" s="586"/>
      <c r="BA4" s="586"/>
      <c r="BB4" s="586"/>
      <c r="BC4" s="586"/>
      <c r="BD4" s="586"/>
      <c r="BE4" s="586"/>
      <c r="BF4" s="586"/>
    </row>
    <row r="5" spans="2:58" ht="17.25" customHeight="1" thickBot="1">
      <c r="B5" s="499" t="s">
        <v>2830</v>
      </c>
      <c r="C5" s="593"/>
      <c r="D5" s="594"/>
      <c r="E5" s="2847" t="str">
        <f>IF(メイン!E39=0,"",メイン!E39)</f>
        <v>基本設計段階</v>
      </c>
      <c r="F5" s="2848"/>
      <c r="G5" s="595"/>
      <c r="H5" s="596"/>
      <c r="I5" s="596"/>
      <c r="J5" s="596"/>
      <c r="K5" s="596"/>
      <c r="L5" s="596"/>
      <c r="M5" s="597"/>
      <c r="N5" s="597"/>
      <c r="O5" s="597"/>
      <c r="P5" s="597"/>
      <c r="Q5" s="598"/>
      <c r="R5" s="586"/>
      <c r="S5" s="2849" t="s">
        <v>3191</v>
      </c>
      <c r="T5" s="2850"/>
      <c r="V5" s="599"/>
      <c r="W5" s="586"/>
      <c r="X5" s="599"/>
      <c r="Y5" s="586"/>
      <c r="Z5" s="586"/>
      <c r="AA5" s="586"/>
      <c r="AB5" s="600" t="s">
        <v>2832</v>
      </c>
      <c r="AC5" s="601"/>
      <c r="AD5" s="600" t="s">
        <v>2833</v>
      </c>
      <c r="AF5" s="2615" t="s">
        <v>3244</v>
      </c>
      <c r="AG5" s="596"/>
      <c r="AH5" s="596"/>
      <c r="AI5" s="596"/>
      <c r="AJ5" s="596"/>
      <c r="AK5" s="2616" t="s">
        <v>3245</v>
      </c>
      <c r="AL5" s="2616"/>
      <c r="AM5" s="596"/>
      <c r="AN5" s="596"/>
      <c r="AO5" s="596"/>
      <c r="AP5" s="597"/>
      <c r="AQ5" s="597"/>
      <c r="AR5" s="598"/>
      <c r="AW5" s="586"/>
      <c r="AX5" s="586"/>
      <c r="AY5" s="586"/>
      <c r="AZ5" s="586"/>
      <c r="BA5" s="586"/>
      <c r="BB5" s="586"/>
      <c r="BC5" s="586"/>
      <c r="BD5" s="586"/>
      <c r="BE5" s="586"/>
      <c r="BF5" s="586"/>
    </row>
    <row r="6" spans="2:58" ht="12.75" customHeight="1">
      <c r="B6" s="602"/>
      <c r="C6" s="603"/>
      <c r="D6" s="604"/>
      <c r="E6" s="605"/>
      <c r="F6" s="606"/>
      <c r="G6" s="607"/>
      <c r="H6" s="608"/>
      <c r="I6" s="609"/>
      <c r="J6" s="609"/>
      <c r="K6" s="609"/>
      <c r="L6" s="609"/>
      <c r="M6" s="610" t="s">
        <v>2832</v>
      </c>
      <c r="N6" s="611"/>
      <c r="O6" s="610" t="s">
        <v>2833</v>
      </c>
      <c r="P6" s="612"/>
      <c r="Q6" s="613"/>
      <c r="R6" s="586"/>
      <c r="S6" s="2851"/>
      <c r="T6" s="2852"/>
      <c r="V6" s="614" t="s">
        <v>2834</v>
      </c>
      <c r="W6" s="615"/>
      <c r="X6" s="616" t="s">
        <v>2835</v>
      </c>
      <c r="Y6" s="615"/>
      <c r="Z6" s="615"/>
      <c r="AA6" s="586"/>
      <c r="AB6" s="617">
        <f>重み!D7</f>
        <v>1</v>
      </c>
      <c r="AC6" s="601"/>
      <c r="AD6" s="617">
        <f>重み!E7</f>
        <v>0</v>
      </c>
      <c r="AF6" s="2674" t="s">
        <v>3246</v>
      </c>
      <c r="AG6" s="2674" t="s">
        <v>3247</v>
      </c>
      <c r="AH6" s="2674" t="s">
        <v>3248</v>
      </c>
      <c r="AI6" s="2674" t="s">
        <v>3249</v>
      </c>
      <c r="AJ6" s="2674" t="s">
        <v>3250</v>
      </c>
      <c r="AK6" s="2674" t="s">
        <v>3251</v>
      </c>
      <c r="AL6" s="2676" t="s">
        <v>3256</v>
      </c>
      <c r="AM6" s="2674" t="s">
        <v>3252</v>
      </c>
      <c r="AN6" s="2674" t="s">
        <v>358</v>
      </c>
      <c r="AO6" s="2675" t="s">
        <v>3253</v>
      </c>
      <c r="AP6" s="2628" t="s">
        <v>2832</v>
      </c>
      <c r="AQ6" s="2629"/>
      <c r="AR6" s="613"/>
      <c r="AT6" s="2474" t="s">
        <v>3254</v>
      </c>
      <c r="AW6" s="2623" t="str">
        <f t="shared" ref="AW6:BF6" si="0">AF6</f>
        <v>事務所</v>
      </c>
      <c r="AX6" s="2623" t="str">
        <f t="shared" si="0"/>
        <v>学校</v>
      </c>
      <c r="AY6" s="2623" t="str">
        <f t="shared" si="0"/>
        <v>物販店</v>
      </c>
      <c r="AZ6" s="2623" t="str">
        <f t="shared" si="0"/>
        <v>飲食店</v>
      </c>
      <c r="BA6" s="2623" t="str">
        <f t="shared" si="0"/>
        <v>集会所</v>
      </c>
      <c r="BB6" s="2623" t="str">
        <f t="shared" si="0"/>
        <v>工場</v>
      </c>
      <c r="BC6" s="2623" t="str">
        <f t="shared" si="0"/>
        <v>学校
(小中高)</v>
      </c>
      <c r="BD6" s="2623" t="str">
        <f t="shared" si="0"/>
        <v>病院</v>
      </c>
      <c r="BE6" s="2623" t="str">
        <f t="shared" si="0"/>
        <v>ホテル</v>
      </c>
      <c r="BF6" s="2623" t="str">
        <f t="shared" si="0"/>
        <v>集合住宅</v>
      </c>
    </row>
    <row r="7" spans="2:58" ht="23.25" customHeight="1" thickBot="1">
      <c r="B7" s="2660" t="s">
        <v>2073</v>
      </c>
      <c r="C7" s="2661"/>
      <c r="D7" s="2662"/>
      <c r="E7" s="2663"/>
      <c r="F7" s="2664"/>
      <c r="G7" s="618"/>
      <c r="H7" s="619" t="s">
        <v>2074</v>
      </c>
      <c r="I7" s="620"/>
      <c r="J7" s="620"/>
      <c r="K7" s="620"/>
      <c r="L7" s="621"/>
      <c r="M7" s="622" t="s">
        <v>2331</v>
      </c>
      <c r="N7" s="623" t="s">
        <v>2332</v>
      </c>
      <c r="O7" s="624" t="s">
        <v>2331</v>
      </c>
      <c r="P7" s="625" t="s">
        <v>2332</v>
      </c>
      <c r="Q7" s="626" t="s">
        <v>2075</v>
      </c>
      <c r="R7" s="586"/>
      <c r="S7" s="627" t="s">
        <v>2834</v>
      </c>
      <c r="T7" s="627" t="s">
        <v>2835</v>
      </c>
      <c r="V7" s="628" t="s">
        <v>2831</v>
      </c>
      <c r="W7" s="629" t="s">
        <v>2332</v>
      </c>
      <c r="X7" s="628" t="s">
        <v>2831</v>
      </c>
      <c r="Y7" s="629" t="s">
        <v>2332</v>
      </c>
      <c r="Z7" s="630" t="s">
        <v>2333</v>
      </c>
      <c r="AA7" s="586"/>
      <c r="AB7" s="617" t="s">
        <v>2076</v>
      </c>
      <c r="AC7" s="601"/>
      <c r="AD7" s="617" t="s">
        <v>2076</v>
      </c>
      <c r="AF7" s="2617">
        <f>AW7</f>
        <v>1</v>
      </c>
      <c r="AG7" s="2617">
        <f t="shared" ref="AG7:AO7" si="1">AX7</f>
        <v>0</v>
      </c>
      <c r="AH7" s="2617">
        <f t="shared" si="1"/>
        <v>0</v>
      </c>
      <c r="AI7" s="2617">
        <f t="shared" si="1"/>
        <v>0</v>
      </c>
      <c r="AJ7" s="2617">
        <f t="shared" si="1"/>
        <v>0</v>
      </c>
      <c r="AK7" s="2617">
        <f t="shared" si="1"/>
        <v>0</v>
      </c>
      <c r="AL7" s="2617">
        <f t="shared" si="1"/>
        <v>0</v>
      </c>
      <c r="AM7" s="2617">
        <f t="shared" si="1"/>
        <v>0</v>
      </c>
      <c r="AN7" s="2617">
        <f t="shared" si="1"/>
        <v>0</v>
      </c>
      <c r="AO7" s="2625">
        <f t="shared" si="1"/>
        <v>0</v>
      </c>
      <c r="AP7" s="2630" t="s">
        <v>2331</v>
      </c>
      <c r="AQ7" s="2631" t="s">
        <v>2332</v>
      </c>
      <c r="AR7" s="2618" t="s">
        <v>2075</v>
      </c>
      <c r="AT7" s="2362" t="s">
        <v>3255</v>
      </c>
      <c r="AW7" s="2623">
        <f>AW3</f>
        <v>1</v>
      </c>
      <c r="AX7" s="2623">
        <f t="shared" ref="AX7:AZ7" si="2">AX3</f>
        <v>0</v>
      </c>
      <c r="AY7" s="2623">
        <f t="shared" si="2"/>
        <v>0</v>
      </c>
      <c r="AZ7" s="2623">
        <f t="shared" si="2"/>
        <v>0</v>
      </c>
      <c r="BA7" s="2623">
        <f>BD3</f>
        <v>0</v>
      </c>
      <c r="BB7" s="2623">
        <f>BE3</f>
        <v>0</v>
      </c>
      <c r="BC7" s="2623">
        <f>BF3</f>
        <v>0</v>
      </c>
      <c r="BD7" s="2623">
        <f>BA3</f>
        <v>0</v>
      </c>
      <c r="BE7" s="2623">
        <f t="shared" ref="BE7:BF7" si="3">BB3</f>
        <v>0</v>
      </c>
      <c r="BF7" s="2623">
        <f t="shared" si="3"/>
        <v>0</v>
      </c>
    </row>
    <row r="8" spans="2:58" ht="16.5" thickBot="1">
      <c r="B8" s="2665" t="s">
        <v>2077</v>
      </c>
      <c r="C8" s="2666"/>
      <c r="D8" s="2667"/>
      <c r="E8" s="2668"/>
      <c r="F8" s="2669"/>
      <c r="G8" s="631"/>
      <c r="H8" s="632"/>
      <c r="I8" s="633"/>
      <c r="J8" s="633"/>
      <c r="K8" s="633"/>
      <c r="L8" s="634"/>
      <c r="M8" s="635"/>
      <c r="N8" s="636"/>
      <c r="O8" s="637"/>
      <c r="P8" s="638"/>
      <c r="Q8" s="639">
        <f>ROUNDDOWN(Z8,1)</f>
        <v>3</v>
      </c>
      <c r="R8" s="586"/>
      <c r="S8" s="586"/>
      <c r="T8" s="586"/>
      <c r="V8" s="640"/>
      <c r="W8" s="641"/>
      <c r="X8" s="640"/>
      <c r="Y8" s="641"/>
      <c r="Z8" s="641">
        <f>W9*Z9+W61*Z61+W109*Z109</f>
        <v>3.0000000000000004</v>
      </c>
      <c r="AA8" s="586"/>
      <c r="AB8" s="617">
        <f>重み!M8</f>
        <v>0</v>
      </c>
      <c r="AC8" s="601"/>
      <c r="AD8" s="617">
        <f>重み!N8</f>
        <v>0</v>
      </c>
      <c r="AF8" s="2619"/>
      <c r="AG8" s="2619"/>
      <c r="AH8" s="2619"/>
      <c r="AI8" s="2619"/>
      <c r="AJ8" s="2619"/>
      <c r="AK8" s="2619"/>
      <c r="AL8" s="2619"/>
      <c r="AM8" s="2619"/>
      <c r="AN8" s="2619"/>
      <c r="AO8" s="2626"/>
      <c r="AP8" s="2632"/>
      <c r="AQ8" s="2633"/>
      <c r="AR8" s="2620">
        <f t="shared" ref="AR8:AR9" si="4">ROUNDDOWN(AT8,1)</f>
        <v>3.2</v>
      </c>
      <c r="AT8" s="1">
        <f>AQ9*AT9+AQ61*AT61+AQ109*AT109</f>
        <v>3.2399999999999998</v>
      </c>
    </row>
    <row r="9" spans="2:58" ht="15.75" thickBot="1">
      <c r="B9" s="642" t="s">
        <v>2078</v>
      </c>
      <c r="C9" s="643" t="s">
        <v>2334</v>
      </c>
      <c r="D9" s="643"/>
      <c r="E9" s="643"/>
      <c r="F9" s="644"/>
      <c r="G9" s="645"/>
      <c r="H9" s="646"/>
      <c r="I9" s="647"/>
      <c r="J9" s="647"/>
      <c r="K9" s="647"/>
      <c r="L9" s="648"/>
      <c r="M9" s="649"/>
      <c r="N9" s="650">
        <f t="shared" ref="N9:P41" si="5">W9</f>
        <v>0.4</v>
      </c>
      <c r="O9" s="651"/>
      <c r="P9" s="650">
        <f t="shared" si="5"/>
        <v>0</v>
      </c>
      <c r="Q9" s="653">
        <f>ROUNDDOWN(Z9,1)</f>
        <v>3</v>
      </c>
      <c r="R9" s="586"/>
      <c r="S9" s="586"/>
      <c r="T9" s="586"/>
      <c r="V9" s="640"/>
      <c r="W9" s="654">
        <f>重み!D9</f>
        <v>0.4</v>
      </c>
      <c r="X9" s="640"/>
      <c r="Y9" s="654"/>
      <c r="Z9" s="641">
        <f>Z10*W10+Z20*W20+Z34*W34+Z47*W47</f>
        <v>3</v>
      </c>
      <c r="AA9" s="586"/>
      <c r="AB9" s="655">
        <f>重み!M9</f>
        <v>0.4</v>
      </c>
      <c r="AC9" s="601"/>
      <c r="AD9" s="617">
        <f>重み!N9</f>
        <v>0</v>
      </c>
      <c r="AF9" s="2621"/>
      <c r="AG9" s="2621"/>
      <c r="AH9" s="2621"/>
      <c r="AI9" s="2621"/>
      <c r="AJ9" s="2621"/>
      <c r="AK9" s="2621"/>
      <c r="AL9" s="2621"/>
      <c r="AM9" s="2621"/>
      <c r="AN9" s="2621"/>
      <c r="AO9" s="2627"/>
      <c r="AP9" s="2634"/>
      <c r="AQ9" s="2635">
        <f>N9</f>
        <v>0.4</v>
      </c>
      <c r="AR9" s="653">
        <f t="shared" si="4"/>
        <v>3</v>
      </c>
      <c r="AT9" s="2639">
        <f>SUMPRODUCT(AQ10:AQ60,AT10:AT60)</f>
        <v>3</v>
      </c>
    </row>
    <row r="10" spans="2:58" ht="14.25" thickBot="1">
      <c r="B10" s="656">
        <v>1</v>
      </c>
      <c r="C10" s="657" t="s">
        <v>2335</v>
      </c>
      <c r="D10" s="658"/>
      <c r="E10" s="659"/>
      <c r="F10" s="660"/>
      <c r="G10" s="661"/>
      <c r="H10" s="662"/>
      <c r="I10" s="663"/>
      <c r="J10" s="663"/>
      <c r="K10" s="663"/>
      <c r="L10" s="664"/>
      <c r="M10" s="665">
        <f>ROUNDDOWN(V10,1)</f>
        <v>3</v>
      </c>
      <c r="N10" s="666">
        <f t="shared" si="5"/>
        <v>0.15</v>
      </c>
      <c r="O10" s="665">
        <f>ROUNDDOWN(X10,1)</f>
        <v>0</v>
      </c>
      <c r="P10" s="667">
        <f t="shared" ref="P10:P41" si="6">Y10</f>
        <v>0</v>
      </c>
      <c r="Q10" s="668">
        <f>ROUNDDOWN(Z10,1)</f>
        <v>3</v>
      </c>
      <c r="R10" s="586"/>
      <c r="S10" s="585"/>
      <c r="T10" s="585"/>
      <c r="V10" s="669">
        <f>V11*W11+V14*W14+V19*W19</f>
        <v>3.0000000000000004</v>
      </c>
      <c r="W10" s="670">
        <f>重み!D10</f>
        <v>0.15</v>
      </c>
      <c r="X10" s="669">
        <f>X11*Y11+X14*Y14+X19*Y19</f>
        <v>0</v>
      </c>
      <c r="Y10" s="671">
        <f>SUM(Y11,Y14,Y19)</f>
        <v>0</v>
      </c>
      <c r="Z10" s="641">
        <f>IF(X10=0,V10,IF(V10=0,X10,V10*AB$6+X10*AD$6))</f>
        <v>3.0000000000000004</v>
      </c>
      <c r="AA10" s="586"/>
      <c r="AB10" s="617">
        <f>重み!M10</f>
        <v>0.15</v>
      </c>
      <c r="AC10" s="601"/>
      <c r="AD10" s="672">
        <f>SUM(AD11,AD14,AD19)</f>
        <v>0</v>
      </c>
      <c r="AF10" s="2641">
        <v>3</v>
      </c>
      <c r="AG10" s="2641"/>
      <c r="AH10" s="2641"/>
      <c r="AI10" s="2641"/>
      <c r="AJ10" s="2641"/>
      <c r="AK10" s="2641">
        <v>0</v>
      </c>
      <c r="AL10" s="2641"/>
      <c r="AM10" s="2641"/>
      <c r="AN10" s="2641"/>
      <c r="AO10" s="2642"/>
      <c r="AP10" s="2636">
        <f>ROUNDDOWN(AT10,1)</f>
        <v>3</v>
      </c>
      <c r="AQ10" s="2637">
        <f>N10</f>
        <v>0.15</v>
      </c>
      <c r="AR10" s="2622"/>
      <c r="AT10" s="2639">
        <f>IF(AV10=0,0,SUMPRODUCT($AW$7:$BF$7,AF10:AO10)/AV10)</f>
        <v>3</v>
      </c>
      <c r="AV10" s="2638">
        <f>SUMPRODUCT($AW$7:$BF$7,AW10:BF10)</f>
        <v>1</v>
      </c>
      <c r="AW10" s="2624">
        <f t="shared" ref="AW10:BF10" si="7">IF(AF10&gt;0,1,0)</f>
        <v>1</v>
      </c>
      <c r="AX10" s="2624">
        <f t="shared" si="7"/>
        <v>0</v>
      </c>
      <c r="AY10" s="2624">
        <f t="shared" si="7"/>
        <v>0</v>
      </c>
      <c r="AZ10" s="2624">
        <f t="shared" si="7"/>
        <v>0</v>
      </c>
      <c r="BA10" s="2624">
        <f t="shared" si="7"/>
        <v>0</v>
      </c>
      <c r="BB10" s="2624">
        <f t="shared" si="7"/>
        <v>0</v>
      </c>
      <c r="BC10" s="2624">
        <f t="shared" si="7"/>
        <v>0</v>
      </c>
      <c r="BD10" s="2624">
        <f t="shared" si="7"/>
        <v>0</v>
      </c>
      <c r="BE10" s="2624">
        <f t="shared" si="7"/>
        <v>0</v>
      </c>
      <c r="BF10" s="2624">
        <f t="shared" si="7"/>
        <v>0</v>
      </c>
    </row>
    <row r="11" spans="2:58" ht="14.25" thickBot="1">
      <c r="B11" s="673"/>
      <c r="C11" s="674">
        <v>1.1000000000000001</v>
      </c>
      <c r="D11" s="675" t="s">
        <v>2336</v>
      </c>
      <c r="E11" s="676"/>
      <c r="F11" s="677"/>
      <c r="G11" s="678">
        <v>5</v>
      </c>
      <c r="H11" s="2860"/>
      <c r="I11" s="2861"/>
      <c r="J11" s="2861"/>
      <c r="K11" s="2861"/>
      <c r="L11" s="2862"/>
      <c r="M11" s="910">
        <f>ROUNDDOWN(V11,1)</f>
        <v>3</v>
      </c>
      <c r="N11" s="683">
        <f t="shared" si="5"/>
        <v>0.4</v>
      </c>
      <c r="O11" s="910">
        <f>ROUNDDOWN(X11,1)</f>
        <v>0</v>
      </c>
      <c r="P11" s="683">
        <f t="shared" si="6"/>
        <v>0</v>
      </c>
      <c r="Q11" s="684"/>
      <c r="R11" s="586"/>
      <c r="S11" s="685"/>
      <c r="T11" s="685"/>
      <c r="V11" s="669">
        <f>SUMPRODUCT(V12:V13,W12:W13)</f>
        <v>3</v>
      </c>
      <c r="W11" s="670">
        <f>重み!D11</f>
        <v>0.4</v>
      </c>
      <c r="X11" s="669">
        <f>SUMPRODUCT(X12:X13,Y12:Y13)</f>
        <v>0</v>
      </c>
      <c r="Y11" s="670">
        <f>重み!E11</f>
        <v>0</v>
      </c>
      <c r="Z11" s="641"/>
      <c r="AA11" s="586"/>
      <c r="AB11" s="617">
        <f>重み!M11</f>
        <v>0.4</v>
      </c>
      <c r="AC11" s="601"/>
      <c r="AD11" s="617">
        <f>重み!N11</f>
        <v>0</v>
      </c>
    </row>
    <row r="12" spans="2:58" ht="14.25" hidden="1" thickBot="1">
      <c r="B12" s="673"/>
      <c r="C12" s="686"/>
      <c r="D12" s="687">
        <v>1</v>
      </c>
      <c r="E12" s="688" t="s">
        <v>2337</v>
      </c>
      <c r="F12" s="689"/>
      <c r="G12" s="678"/>
      <c r="H12" s="2844"/>
      <c r="I12" s="2845"/>
      <c r="J12" s="2845"/>
      <c r="K12" s="2845"/>
      <c r="L12" s="2846"/>
      <c r="M12" s="910">
        <f>ROUNDDOWN(S12,1)</f>
        <v>3</v>
      </c>
      <c r="N12" s="692">
        <f t="shared" si="5"/>
        <v>1</v>
      </c>
      <c r="O12" s="691">
        <f>ROUNDDOWN(T12,1)</f>
        <v>3</v>
      </c>
      <c r="P12" s="692">
        <f t="shared" si="6"/>
        <v>0</v>
      </c>
      <c r="Q12" s="668"/>
      <c r="R12" s="586"/>
      <c r="S12" s="693">
        <f>IF(採点Q1!F9="対象外",0,採点Q1!F9)</f>
        <v>3</v>
      </c>
      <c r="T12" s="694">
        <f>IF(採点Q1!L9="対象外",0,採点Q1!L9)</f>
        <v>3</v>
      </c>
      <c r="V12" s="695">
        <f>M12</f>
        <v>3</v>
      </c>
      <c r="W12" s="670">
        <f>重み!D12</f>
        <v>1</v>
      </c>
      <c r="X12" s="695">
        <f>O12</f>
        <v>3</v>
      </c>
      <c r="Y12" s="670">
        <f>重み!E12</f>
        <v>0</v>
      </c>
      <c r="Z12" s="641"/>
      <c r="AA12" s="586"/>
      <c r="AB12" s="617">
        <f>重み!M12</f>
        <v>0.5</v>
      </c>
      <c r="AC12" s="601"/>
      <c r="AD12" s="617">
        <f>重み!N12</f>
        <v>0</v>
      </c>
    </row>
    <row r="13" spans="2:58" ht="14.25" hidden="1" thickBot="1">
      <c r="B13" s="673"/>
      <c r="C13" s="696"/>
      <c r="D13" s="755">
        <v>2</v>
      </c>
      <c r="E13" s="756" t="s">
        <v>2338</v>
      </c>
      <c r="F13" s="757"/>
      <c r="G13" s="698"/>
      <c r="H13" s="2844"/>
      <c r="I13" s="2845"/>
      <c r="J13" s="2845"/>
      <c r="K13" s="2845"/>
      <c r="L13" s="2846"/>
      <c r="M13" s="699">
        <f>ROUNDDOWN(S13,1)</f>
        <v>0</v>
      </c>
      <c r="N13" s="692">
        <f t="shared" si="5"/>
        <v>0</v>
      </c>
      <c r="O13" s="699">
        <f>ROUNDDOWN(T13,1)</f>
        <v>0</v>
      </c>
      <c r="P13" s="692">
        <f t="shared" si="6"/>
        <v>0</v>
      </c>
      <c r="Q13" s="668"/>
      <c r="R13" s="586"/>
      <c r="S13" s="700">
        <f>IF(採点Q1!F34="対象外",0,採点Q1!F34)</f>
        <v>0</v>
      </c>
      <c r="T13" s="701">
        <f>採点Q1!K34</f>
        <v>0</v>
      </c>
      <c r="V13" s="695">
        <f>M13</f>
        <v>0</v>
      </c>
      <c r="W13" s="670">
        <f>重み!D13</f>
        <v>0</v>
      </c>
      <c r="X13" s="695">
        <f>O13</f>
        <v>0</v>
      </c>
      <c r="Y13" s="670">
        <f>重み!E13</f>
        <v>0</v>
      </c>
      <c r="Z13" s="641"/>
      <c r="AA13" s="586"/>
      <c r="AB13" s="617">
        <f>重み!M13</f>
        <v>0.5</v>
      </c>
      <c r="AC13" s="601"/>
      <c r="AD13" s="617">
        <f>重み!N13</f>
        <v>0</v>
      </c>
    </row>
    <row r="14" spans="2:58" ht="14.25" thickBot="1">
      <c r="B14" s="673"/>
      <c r="C14" s="674">
        <v>1.2</v>
      </c>
      <c r="D14" s="676" t="s">
        <v>2339</v>
      </c>
      <c r="E14" s="703"/>
      <c r="F14" s="704"/>
      <c r="G14" s="678"/>
      <c r="H14" s="662"/>
      <c r="I14" s="663"/>
      <c r="J14" s="663"/>
      <c r="K14" s="663"/>
      <c r="L14" s="664"/>
      <c r="M14" s="682">
        <f>ROUNDDOWN(V14,1)</f>
        <v>3</v>
      </c>
      <c r="N14" s="692">
        <f t="shared" si="5"/>
        <v>0.4</v>
      </c>
      <c r="O14" s="682">
        <f>ROUNDDOWN(X14,1)</f>
        <v>0</v>
      </c>
      <c r="P14" s="692">
        <f t="shared" si="6"/>
        <v>0</v>
      </c>
      <c r="Q14" s="668"/>
      <c r="R14" s="586"/>
      <c r="S14" s="705"/>
      <c r="T14" s="705"/>
      <c r="V14" s="669">
        <f>SUMPRODUCT(V15:V18,W15:W18)</f>
        <v>3</v>
      </c>
      <c r="W14" s="670">
        <f>重み!D14</f>
        <v>0.4</v>
      </c>
      <c r="X14" s="669">
        <f>SUMPRODUCT(X15:X18,Y15:Y18)</f>
        <v>0</v>
      </c>
      <c r="Y14" s="670">
        <f>重み!E14</f>
        <v>0</v>
      </c>
      <c r="Z14" s="641"/>
      <c r="AA14" s="586"/>
      <c r="AB14" s="617">
        <f>重み!M14</f>
        <v>0.4</v>
      </c>
      <c r="AC14" s="601"/>
      <c r="AD14" s="617">
        <f>重み!N14</f>
        <v>0</v>
      </c>
    </row>
    <row r="15" spans="2:58">
      <c r="B15" s="673"/>
      <c r="C15" s="702"/>
      <c r="D15" s="687">
        <v>1</v>
      </c>
      <c r="E15" s="697" t="s">
        <v>811</v>
      </c>
      <c r="F15" s="677"/>
      <c r="G15" s="678"/>
      <c r="H15" s="2844"/>
      <c r="I15" s="2845"/>
      <c r="J15" s="2845"/>
      <c r="K15" s="2845"/>
      <c r="L15" s="2846"/>
      <c r="M15" s="691">
        <f>ROUNDDOWN(S15,1)</f>
        <v>3</v>
      </c>
      <c r="N15" s="692">
        <f t="shared" si="5"/>
        <v>0.6</v>
      </c>
      <c r="O15" s="691">
        <f>ROUNDDOWN(T15,1)</f>
        <v>3</v>
      </c>
      <c r="P15" s="692">
        <f t="shared" si="6"/>
        <v>0</v>
      </c>
      <c r="Q15" s="668"/>
      <c r="R15" s="586"/>
      <c r="S15" s="693">
        <f>IF(採点Q1!F69="対象外",0,採点Q1!F69)</f>
        <v>3</v>
      </c>
      <c r="T15" s="694">
        <f>採点Q1!K69</f>
        <v>3</v>
      </c>
      <c r="V15" s="695">
        <f>M15</f>
        <v>3</v>
      </c>
      <c r="W15" s="670">
        <f>重み!D15</f>
        <v>0.6</v>
      </c>
      <c r="X15" s="695">
        <f>O15</f>
        <v>3</v>
      </c>
      <c r="Y15" s="670">
        <f>重み!E15</f>
        <v>0</v>
      </c>
      <c r="Z15" s="641"/>
      <c r="AA15" s="586"/>
      <c r="AB15" s="617">
        <f>重み!M15</f>
        <v>0.6</v>
      </c>
      <c r="AC15" s="601"/>
      <c r="AD15" s="617">
        <f>重み!N15</f>
        <v>0</v>
      </c>
    </row>
    <row r="16" spans="2:58">
      <c r="B16" s="673"/>
      <c r="C16" s="686"/>
      <c r="D16" s="687">
        <v>2</v>
      </c>
      <c r="E16" s="697" t="s">
        <v>812</v>
      </c>
      <c r="F16" s="677"/>
      <c r="G16" s="678"/>
      <c r="H16" s="2844"/>
      <c r="I16" s="2845"/>
      <c r="J16" s="2845"/>
      <c r="K16" s="2845"/>
      <c r="L16" s="2846"/>
      <c r="M16" s="706">
        <f>ROUNDDOWN(S16,1)</f>
        <v>3</v>
      </c>
      <c r="N16" s="692">
        <f t="shared" si="5"/>
        <v>0.4</v>
      </c>
      <c r="O16" s="706">
        <f>ROUNDDOWN(T16,1)</f>
        <v>3</v>
      </c>
      <c r="P16" s="692">
        <f t="shared" si="6"/>
        <v>0</v>
      </c>
      <c r="Q16" s="668"/>
      <c r="R16" s="586"/>
      <c r="S16" s="707">
        <f>IF(採点Q1!F85="対象外",0,採点Q1!F85)</f>
        <v>3</v>
      </c>
      <c r="T16" s="708">
        <f>採点Q1!K85</f>
        <v>3</v>
      </c>
      <c r="V16" s="695">
        <f>M16</f>
        <v>3</v>
      </c>
      <c r="W16" s="670">
        <f>重み!D16</f>
        <v>0.4</v>
      </c>
      <c r="X16" s="695">
        <f>O16</f>
        <v>3</v>
      </c>
      <c r="Y16" s="670">
        <f>重み!E16</f>
        <v>0</v>
      </c>
      <c r="Z16" s="641"/>
      <c r="AA16" s="586"/>
      <c r="AB16" s="617">
        <f>重み!M16</f>
        <v>0.4</v>
      </c>
      <c r="AC16" s="601"/>
      <c r="AD16" s="617">
        <f>重み!N16</f>
        <v>0</v>
      </c>
    </row>
    <row r="17" spans="2:58">
      <c r="B17" s="673"/>
      <c r="C17" s="686"/>
      <c r="D17" s="687">
        <v>3</v>
      </c>
      <c r="E17" s="697" t="s">
        <v>813</v>
      </c>
      <c r="F17" s="677"/>
      <c r="G17" s="678"/>
      <c r="H17" s="2844"/>
      <c r="I17" s="2845"/>
      <c r="J17" s="2845"/>
      <c r="K17" s="2845"/>
      <c r="L17" s="2846"/>
      <c r="M17" s="706">
        <f>ROUNDDOWN(S17,1)</f>
        <v>3</v>
      </c>
      <c r="N17" s="692">
        <f t="shared" si="5"/>
        <v>0</v>
      </c>
      <c r="O17" s="706">
        <f>ROUNDDOWN(T17,1)</f>
        <v>3</v>
      </c>
      <c r="P17" s="692">
        <f t="shared" si="6"/>
        <v>0</v>
      </c>
      <c r="Q17" s="668"/>
      <c r="R17" s="586"/>
      <c r="S17" s="707">
        <f>IF(採点Q1!F101="対象外",0,採点Q1!F101)</f>
        <v>3</v>
      </c>
      <c r="T17" s="708">
        <f>採点Q1!K101</f>
        <v>3</v>
      </c>
      <c r="V17" s="695">
        <f>M17</f>
        <v>3</v>
      </c>
      <c r="W17" s="670">
        <f>重み!D17</f>
        <v>0</v>
      </c>
      <c r="X17" s="695">
        <f>O17</f>
        <v>3</v>
      </c>
      <c r="Y17" s="670">
        <f>重み!E17</f>
        <v>0</v>
      </c>
      <c r="Z17" s="641"/>
      <c r="AA17" s="586"/>
      <c r="AB17" s="617">
        <f>重み!M17</f>
        <v>0</v>
      </c>
      <c r="AC17" s="601"/>
      <c r="AD17" s="617">
        <f>重み!N17</f>
        <v>0</v>
      </c>
    </row>
    <row r="18" spans="2:58">
      <c r="B18" s="673"/>
      <c r="C18" s="696"/>
      <c r="D18" s="687">
        <v>4</v>
      </c>
      <c r="E18" s="697" t="s">
        <v>814</v>
      </c>
      <c r="F18" s="677"/>
      <c r="G18" s="678"/>
      <c r="H18" s="2844"/>
      <c r="I18" s="2845"/>
      <c r="J18" s="2845"/>
      <c r="K18" s="2845"/>
      <c r="L18" s="2846"/>
      <c r="M18" s="706">
        <f>ROUNDDOWN(S18,1)</f>
        <v>3</v>
      </c>
      <c r="N18" s="692">
        <f t="shared" si="5"/>
        <v>0</v>
      </c>
      <c r="O18" s="706">
        <f>ROUNDDOWN(T18,1)</f>
        <v>3</v>
      </c>
      <c r="P18" s="692">
        <f t="shared" si="6"/>
        <v>0</v>
      </c>
      <c r="Q18" s="668"/>
      <c r="R18" s="586"/>
      <c r="S18" s="707">
        <f>IF(採点Q1!F117="対象外",0,採点Q1!F117)</f>
        <v>3</v>
      </c>
      <c r="T18" s="708">
        <f>採点Q1!K117</f>
        <v>3</v>
      </c>
      <c r="V18" s="695">
        <f>M18</f>
        <v>3</v>
      </c>
      <c r="W18" s="670">
        <f>重み!D18</f>
        <v>0</v>
      </c>
      <c r="X18" s="695">
        <f>O18</f>
        <v>3</v>
      </c>
      <c r="Y18" s="670">
        <f>重み!E18</f>
        <v>0</v>
      </c>
      <c r="Z18" s="641"/>
      <c r="AA18" s="586"/>
      <c r="AB18" s="617">
        <f>重み!M18</f>
        <v>0</v>
      </c>
      <c r="AC18" s="601"/>
      <c r="AD18" s="617">
        <f>重み!N18</f>
        <v>0</v>
      </c>
    </row>
    <row r="19" spans="2:58" ht="14.25" thickBot="1">
      <c r="B19" s="709"/>
      <c r="C19" s="710">
        <v>1.3</v>
      </c>
      <c r="D19" s="676" t="s">
        <v>815</v>
      </c>
      <c r="E19" s="676"/>
      <c r="F19" s="677"/>
      <c r="G19" s="678"/>
      <c r="H19" s="2844"/>
      <c r="I19" s="2845"/>
      <c r="J19" s="2845"/>
      <c r="K19" s="2845"/>
      <c r="L19" s="2846"/>
      <c r="M19" s="711">
        <f>ROUNDDOWN(S19,1)</f>
        <v>3</v>
      </c>
      <c r="N19" s="692">
        <f t="shared" si="5"/>
        <v>0.2</v>
      </c>
      <c r="O19" s="711">
        <f>ROUNDDOWN(T19,1)</f>
        <v>3</v>
      </c>
      <c r="P19" s="692">
        <f t="shared" si="6"/>
        <v>0</v>
      </c>
      <c r="Q19" s="668"/>
      <c r="R19" s="586"/>
      <c r="S19" s="700">
        <f>IF(採点Q1!F133="対象外",0,採点Q1!F133)</f>
        <v>3</v>
      </c>
      <c r="T19" s="701">
        <f>採点Q1!K133</f>
        <v>3</v>
      </c>
      <c r="V19" s="695">
        <f>M19</f>
        <v>3</v>
      </c>
      <c r="W19" s="670">
        <f>重み!D19</f>
        <v>0.2</v>
      </c>
      <c r="X19" s="695">
        <f>O19</f>
        <v>3</v>
      </c>
      <c r="Y19" s="670">
        <f>重み!E19</f>
        <v>0</v>
      </c>
      <c r="Z19" s="641"/>
      <c r="AA19" s="586"/>
      <c r="AB19" s="617">
        <f>重み!M19</f>
        <v>0.2</v>
      </c>
      <c r="AC19" s="601"/>
      <c r="AD19" s="617">
        <f>重み!N19</f>
        <v>0</v>
      </c>
    </row>
    <row r="20" spans="2:58">
      <c r="B20" s="803">
        <v>2</v>
      </c>
      <c r="C20" s="712" t="s">
        <v>816</v>
      </c>
      <c r="D20" s="825"/>
      <c r="E20" s="723"/>
      <c r="F20" s="724"/>
      <c r="G20" s="678"/>
      <c r="H20" s="714"/>
      <c r="I20" s="715"/>
      <c r="J20" s="715"/>
      <c r="K20" s="715"/>
      <c r="L20" s="716"/>
      <c r="M20" s="717">
        <f>ROUNDDOWN(V20,1)</f>
        <v>3</v>
      </c>
      <c r="N20" s="718">
        <f t="shared" si="5"/>
        <v>0.35</v>
      </c>
      <c r="O20" s="665">
        <f>ROUNDDOWN(X20,1)</f>
        <v>0</v>
      </c>
      <c r="P20" s="719">
        <f t="shared" si="6"/>
        <v>0</v>
      </c>
      <c r="Q20" s="720">
        <f>ROUNDDOWN(Z20,1)</f>
        <v>3</v>
      </c>
      <c r="R20" s="586"/>
      <c r="S20" s="721"/>
      <c r="T20" s="721"/>
      <c r="V20" s="669">
        <f>V21*W21+V30*W30+V31*W31</f>
        <v>2.9999999999999996</v>
      </c>
      <c r="W20" s="670">
        <f>重み!D20</f>
        <v>0.35</v>
      </c>
      <c r="X20" s="669">
        <f>X21*Y21+X30*Y30+X31*Y31</f>
        <v>0</v>
      </c>
      <c r="Y20" s="671">
        <f>SUM(Y21,Y30,Y31)</f>
        <v>0</v>
      </c>
      <c r="Z20" s="641">
        <f>IF(X20=0,V20,IF(V20=0,X20,V20*AB$6+X20*AD$6))</f>
        <v>2.9999999999999996</v>
      </c>
      <c r="AA20" s="586"/>
      <c r="AB20" s="617">
        <f>重み!M20</f>
        <v>0.35</v>
      </c>
      <c r="AC20" s="601"/>
      <c r="AD20" s="672">
        <f>SUM(AD21,AD30,AD31)</f>
        <v>0</v>
      </c>
      <c r="AF20" s="2643">
        <v>3</v>
      </c>
      <c r="AG20" s="2643"/>
      <c r="AH20" s="2643"/>
      <c r="AI20" s="2643"/>
      <c r="AJ20" s="2643"/>
      <c r="AK20" s="2643">
        <v>0</v>
      </c>
      <c r="AL20" s="2643"/>
      <c r="AM20" s="2643"/>
      <c r="AN20" s="2643"/>
      <c r="AO20" s="2643"/>
      <c r="AP20" s="2640">
        <f t="shared" ref="AP20:AP47" si="8">ROUNDDOWN(AT20,1)</f>
        <v>3</v>
      </c>
      <c r="AQ20" s="921">
        <f>N20</f>
        <v>0.35</v>
      </c>
      <c r="AR20" s="720"/>
      <c r="AT20" s="2639">
        <f>IF(AV20=0,0,SUMPRODUCT($AW$7:$BF$7,AF20:AO20)/AV20)</f>
        <v>3</v>
      </c>
      <c r="AV20" s="2638">
        <f>SUMPRODUCT($AW$7:$BF$7,AW20:BF20)</f>
        <v>1</v>
      </c>
      <c r="AW20" s="2624">
        <f t="shared" ref="AW20:BF20" si="9">IF(AF20&gt;0,1,0)</f>
        <v>1</v>
      </c>
      <c r="AX20" s="2624">
        <f t="shared" si="9"/>
        <v>0</v>
      </c>
      <c r="AY20" s="2624">
        <f t="shared" si="9"/>
        <v>0</v>
      </c>
      <c r="AZ20" s="2624">
        <f t="shared" si="9"/>
        <v>0</v>
      </c>
      <c r="BA20" s="2624">
        <f t="shared" si="9"/>
        <v>0</v>
      </c>
      <c r="BB20" s="2624">
        <f t="shared" si="9"/>
        <v>0</v>
      </c>
      <c r="BC20" s="2624">
        <f t="shared" si="9"/>
        <v>0</v>
      </c>
      <c r="BD20" s="2624">
        <f t="shared" si="9"/>
        <v>0</v>
      </c>
      <c r="BE20" s="2624">
        <f t="shared" si="9"/>
        <v>0</v>
      </c>
      <c r="BF20" s="2624">
        <f t="shared" si="9"/>
        <v>0</v>
      </c>
    </row>
    <row r="21" spans="2:58" ht="14.25" thickBot="1">
      <c r="B21" s="673"/>
      <c r="C21" s="674">
        <v>2.1</v>
      </c>
      <c r="D21" s="722" t="s">
        <v>817</v>
      </c>
      <c r="E21" s="723"/>
      <c r="F21" s="724"/>
      <c r="G21" s="678">
        <v>5</v>
      </c>
      <c r="H21" s="679"/>
      <c r="I21" s="680"/>
      <c r="J21" s="680"/>
      <c r="K21" s="680"/>
      <c r="L21" s="681"/>
      <c r="M21" s="682">
        <f>ROUNDDOWN(V21,1)</f>
        <v>3</v>
      </c>
      <c r="N21" s="725">
        <f t="shared" si="5"/>
        <v>0.5</v>
      </c>
      <c r="O21" s="726">
        <f>ROUNDDOWN(X21,1)</f>
        <v>0</v>
      </c>
      <c r="P21" s="727">
        <f t="shared" si="6"/>
        <v>0</v>
      </c>
      <c r="Q21" s="684"/>
      <c r="R21" s="586"/>
      <c r="S21" s="685"/>
      <c r="T21" s="685"/>
      <c r="V21" s="669">
        <f>SUMPRODUCT(V22:V29,W22:W29)</f>
        <v>2.9999999999999996</v>
      </c>
      <c r="W21" s="670">
        <f>重み!D21</f>
        <v>0.5</v>
      </c>
      <c r="X21" s="669">
        <f>SUMPRODUCT(X22:X29,Y22:Y29)</f>
        <v>0</v>
      </c>
      <c r="Y21" s="670">
        <f>重み!E21</f>
        <v>0</v>
      </c>
      <c r="Z21" s="641"/>
      <c r="AA21" s="586"/>
      <c r="AB21" s="617">
        <f>重み!M21</f>
        <v>0.5</v>
      </c>
      <c r="AC21" s="601"/>
      <c r="AD21" s="617">
        <f>重み!N21</f>
        <v>0</v>
      </c>
      <c r="AP21" s="2672">
        <f t="shared" si="8"/>
        <v>0</v>
      </c>
    </row>
    <row r="22" spans="2:58">
      <c r="B22" s="673"/>
      <c r="C22" s="728"/>
      <c r="D22" s="687">
        <v>1</v>
      </c>
      <c r="E22" s="676" t="s">
        <v>1006</v>
      </c>
      <c r="F22" s="729"/>
      <c r="G22" s="678"/>
      <c r="H22" s="2844"/>
      <c r="I22" s="2845"/>
      <c r="J22" s="2845"/>
      <c r="K22" s="2845"/>
      <c r="L22" s="2846"/>
      <c r="M22" s="691">
        <f t="shared" ref="M22:M33" si="10">ROUNDDOWN(S22,1)</f>
        <v>3</v>
      </c>
      <c r="N22" s="692">
        <f t="shared" si="5"/>
        <v>0.37499999999999994</v>
      </c>
      <c r="O22" s="691">
        <f t="shared" ref="O22:O33" si="11">ROUNDDOWN(T22,1)</f>
        <v>3</v>
      </c>
      <c r="P22" s="692">
        <f t="shared" si="6"/>
        <v>0</v>
      </c>
      <c r="Q22" s="668"/>
      <c r="R22" s="586"/>
      <c r="S22" s="693">
        <f>IF(採点Q1!F144="対象外",0,採点Q1!F144)</f>
        <v>3</v>
      </c>
      <c r="T22" s="694">
        <f>採点Q1!M144</f>
        <v>3</v>
      </c>
      <c r="V22" s="695">
        <f>M22</f>
        <v>3</v>
      </c>
      <c r="W22" s="670">
        <f>重み!D22</f>
        <v>0.37499999999999994</v>
      </c>
      <c r="X22" s="695">
        <f>O22</f>
        <v>3</v>
      </c>
      <c r="Y22" s="670">
        <f>重み!E22</f>
        <v>0</v>
      </c>
      <c r="Z22" s="641"/>
      <c r="AA22" s="586"/>
      <c r="AB22" s="617">
        <f>重み!M22</f>
        <v>0.3</v>
      </c>
      <c r="AC22" s="601"/>
      <c r="AD22" s="617">
        <f>重み!N22</f>
        <v>0</v>
      </c>
      <c r="AP22" s="2672">
        <f t="shared" si="8"/>
        <v>0</v>
      </c>
    </row>
    <row r="23" spans="2:58" hidden="1">
      <c r="B23" s="673"/>
      <c r="C23" s="728"/>
      <c r="D23" s="755">
        <v>2</v>
      </c>
      <c r="E23" s="756" t="s">
        <v>3165</v>
      </c>
      <c r="F23" s="757"/>
      <c r="G23" s="678"/>
      <c r="H23" s="2844"/>
      <c r="I23" s="2845"/>
      <c r="J23" s="2845"/>
      <c r="K23" s="2845"/>
      <c r="L23" s="2846"/>
      <c r="M23" s="706">
        <f t="shared" si="10"/>
        <v>0</v>
      </c>
      <c r="N23" s="692">
        <f t="shared" si="5"/>
        <v>0</v>
      </c>
      <c r="O23" s="706">
        <f t="shared" si="11"/>
        <v>0</v>
      </c>
      <c r="P23" s="692">
        <f t="shared" si="6"/>
        <v>0</v>
      </c>
      <c r="Q23" s="668"/>
      <c r="R23" s="586"/>
      <c r="S23" s="707">
        <f>IF(採点Q1!F160="対象外",0,採点Q1!F160)</f>
        <v>0</v>
      </c>
      <c r="T23" s="708"/>
      <c r="V23" s="695">
        <f>M23</f>
        <v>0</v>
      </c>
      <c r="W23" s="670">
        <f>重み!D23</f>
        <v>0</v>
      </c>
      <c r="X23" s="730"/>
      <c r="Y23" s="670">
        <f>重み!E23</f>
        <v>0</v>
      </c>
      <c r="Z23" s="641"/>
      <c r="AA23" s="586"/>
      <c r="AB23" s="617">
        <f>重み!M23</f>
        <v>0</v>
      </c>
      <c r="AC23" s="601"/>
      <c r="AD23" s="617">
        <f>重み!N23</f>
        <v>0</v>
      </c>
      <c r="AP23" s="2672">
        <f t="shared" si="8"/>
        <v>0</v>
      </c>
    </row>
    <row r="24" spans="2:58">
      <c r="B24" s="673"/>
      <c r="C24" s="728"/>
      <c r="D24" s="687">
        <v>2</v>
      </c>
      <c r="E24" s="676" t="s">
        <v>818</v>
      </c>
      <c r="F24" s="729"/>
      <c r="G24" s="678"/>
      <c r="H24" s="2844"/>
      <c r="I24" s="2845"/>
      <c r="J24" s="2845"/>
      <c r="K24" s="2845"/>
      <c r="L24" s="2846"/>
      <c r="M24" s="706">
        <f t="shared" si="10"/>
        <v>3</v>
      </c>
      <c r="N24" s="692">
        <f t="shared" si="5"/>
        <v>0.25</v>
      </c>
      <c r="O24" s="706">
        <f t="shared" si="11"/>
        <v>3</v>
      </c>
      <c r="P24" s="692">
        <f t="shared" si="6"/>
        <v>0</v>
      </c>
      <c r="Q24" s="668"/>
      <c r="R24" s="586"/>
      <c r="S24" s="707">
        <f>IF(採点Q1!F169="対象外",0,採点Q1!F169)</f>
        <v>3</v>
      </c>
      <c r="T24" s="708">
        <f>採点Q1!K169</f>
        <v>3</v>
      </c>
      <c r="V24" s="695">
        <f>M24</f>
        <v>3</v>
      </c>
      <c r="W24" s="670">
        <f>重み!D24</f>
        <v>0.25</v>
      </c>
      <c r="X24" s="695">
        <f>O24</f>
        <v>3</v>
      </c>
      <c r="Y24" s="670">
        <f>重み!E24</f>
        <v>0</v>
      </c>
      <c r="Z24" s="641"/>
      <c r="AA24" s="586"/>
      <c r="AB24" s="617">
        <f>重み!M24</f>
        <v>0.2</v>
      </c>
      <c r="AC24" s="601"/>
      <c r="AD24" s="617">
        <f>重み!N24</f>
        <v>0</v>
      </c>
      <c r="AP24" s="2672">
        <f t="shared" si="8"/>
        <v>0</v>
      </c>
    </row>
    <row r="25" spans="2:58">
      <c r="B25" s="673"/>
      <c r="C25" s="728"/>
      <c r="D25" s="687">
        <v>3</v>
      </c>
      <c r="E25" s="676" t="s">
        <v>819</v>
      </c>
      <c r="F25" s="729"/>
      <c r="G25" s="678"/>
      <c r="H25" s="2844"/>
      <c r="I25" s="2845"/>
      <c r="J25" s="2845"/>
      <c r="K25" s="2845"/>
      <c r="L25" s="2846"/>
      <c r="M25" s="706">
        <f t="shared" si="10"/>
        <v>3</v>
      </c>
      <c r="N25" s="692">
        <f t="shared" si="5"/>
        <v>0.37499999999999994</v>
      </c>
      <c r="O25" s="706">
        <f t="shared" si="11"/>
        <v>0</v>
      </c>
      <c r="P25" s="692">
        <f t="shared" si="6"/>
        <v>0</v>
      </c>
      <c r="Q25" s="668"/>
      <c r="R25" s="586"/>
      <c r="S25" s="707">
        <f>IF(採点Q1!F185="対象外",0,採点Q1!F185)</f>
        <v>3</v>
      </c>
      <c r="T25" s="708"/>
      <c r="V25" s="695">
        <f>M25</f>
        <v>3</v>
      </c>
      <c r="W25" s="670">
        <f>重み!D25</f>
        <v>0.37499999999999994</v>
      </c>
      <c r="X25" s="730"/>
      <c r="Y25" s="670">
        <f>重み!E25</f>
        <v>0</v>
      </c>
      <c r="Z25" s="641"/>
      <c r="AA25" s="586"/>
      <c r="AB25" s="617">
        <f>重み!M25</f>
        <v>0.3</v>
      </c>
      <c r="AC25" s="601"/>
      <c r="AD25" s="617">
        <f>重み!N25</f>
        <v>0</v>
      </c>
      <c r="AP25" s="2672">
        <f t="shared" si="8"/>
        <v>0</v>
      </c>
    </row>
    <row r="26" spans="2:58" hidden="1">
      <c r="B26" s="673"/>
      <c r="C26" s="728"/>
      <c r="D26" s="755">
        <v>5</v>
      </c>
      <c r="E26" s="756" t="s">
        <v>2079</v>
      </c>
      <c r="F26" s="757"/>
      <c r="G26" s="678"/>
      <c r="H26" s="2844"/>
      <c r="I26" s="2845"/>
      <c r="J26" s="2845"/>
      <c r="K26" s="2845"/>
      <c r="L26" s="2846"/>
      <c r="M26" s="706">
        <f t="shared" si="10"/>
        <v>0</v>
      </c>
      <c r="N26" s="692">
        <f t="shared" si="5"/>
        <v>0</v>
      </c>
      <c r="O26" s="706">
        <f t="shared" si="11"/>
        <v>0</v>
      </c>
      <c r="P26" s="692">
        <f t="shared" si="6"/>
        <v>0</v>
      </c>
      <c r="Q26" s="668"/>
      <c r="R26" s="586"/>
      <c r="S26" s="707">
        <f>IF(採点Q1!F194="対象外",0,採点Q1!F194)</f>
        <v>0</v>
      </c>
      <c r="T26" s="708">
        <f>採点Q1!K194</f>
        <v>0</v>
      </c>
      <c r="V26" s="695">
        <f>M26</f>
        <v>0</v>
      </c>
      <c r="W26" s="670">
        <f>重み!D26</f>
        <v>0</v>
      </c>
      <c r="X26" s="695">
        <f>O26</f>
        <v>0</v>
      </c>
      <c r="Y26" s="670">
        <f>重み!E26</f>
        <v>0</v>
      </c>
      <c r="Z26" s="641"/>
      <c r="AA26" s="586"/>
      <c r="AB26" s="617">
        <f>重み!M26</f>
        <v>0.1</v>
      </c>
      <c r="AC26" s="601"/>
      <c r="AD26" s="617">
        <f>重み!N26</f>
        <v>0</v>
      </c>
      <c r="AP26" s="2672">
        <f t="shared" si="8"/>
        <v>0</v>
      </c>
    </row>
    <row r="27" spans="2:58" hidden="1">
      <c r="B27" s="673"/>
      <c r="C27" s="728"/>
      <c r="D27" s="755">
        <v>6</v>
      </c>
      <c r="E27" s="756" t="s">
        <v>820</v>
      </c>
      <c r="F27" s="757"/>
      <c r="G27" s="678"/>
      <c r="H27" s="2844"/>
      <c r="I27" s="2845"/>
      <c r="J27" s="2845"/>
      <c r="K27" s="2845"/>
      <c r="L27" s="2846"/>
      <c r="M27" s="706">
        <f t="shared" si="10"/>
        <v>0</v>
      </c>
      <c r="N27" s="692">
        <f t="shared" si="5"/>
        <v>0</v>
      </c>
      <c r="O27" s="706">
        <f t="shared" si="11"/>
        <v>0</v>
      </c>
      <c r="P27" s="692">
        <f t="shared" si="6"/>
        <v>0</v>
      </c>
      <c r="Q27" s="668"/>
      <c r="R27" s="586"/>
      <c r="S27" s="707"/>
      <c r="T27" s="708">
        <f>採点Q1!F203</f>
        <v>0</v>
      </c>
      <c r="V27" s="695"/>
      <c r="W27" s="670">
        <f>重み!D27</f>
        <v>0</v>
      </c>
      <c r="X27" s="695">
        <f>O27</f>
        <v>0</v>
      </c>
      <c r="Y27" s="670">
        <f>重み!E27</f>
        <v>0</v>
      </c>
      <c r="Z27" s="641"/>
      <c r="AA27" s="586"/>
      <c r="AB27" s="617">
        <f>重み!M27</f>
        <v>0</v>
      </c>
      <c r="AC27" s="601"/>
      <c r="AD27" s="617">
        <f>重み!N27</f>
        <v>0</v>
      </c>
      <c r="AP27" s="2672">
        <f t="shared" si="8"/>
        <v>0</v>
      </c>
    </row>
    <row r="28" spans="2:58" hidden="1">
      <c r="B28" s="673"/>
      <c r="C28" s="728"/>
      <c r="D28" s="755">
        <v>7</v>
      </c>
      <c r="E28" s="756" t="s">
        <v>288</v>
      </c>
      <c r="F28" s="757"/>
      <c r="G28" s="678"/>
      <c r="H28" s="2844"/>
      <c r="I28" s="2845"/>
      <c r="J28" s="2845"/>
      <c r="K28" s="2845"/>
      <c r="L28" s="2846"/>
      <c r="M28" s="706">
        <f t="shared" si="10"/>
        <v>0</v>
      </c>
      <c r="N28" s="692">
        <f t="shared" si="5"/>
        <v>0</v>
      </c>
      <c r="O28" s="706">
        <f t="shared" si="11"/>
        <v>0</v>
      </c>
      <c r="P28" s="692">
        <f t="shared" si="6"/>
        <v>0</v>
      </c>
      <c r="Q28" s="668"/>
      <c r="R28" s="586"/>
      <c r="S28" s="707">
        <f>IF(採点Q1!F212="対象外",0,採点Q1!F212)</f>
        <v>0</v>
      </c>
      <c r="T28" s="708"/>
      <c r="V28" s="695">
        <f>M28</f>
        <v>0</v>
      </c>
      <c r="W28" s="670">
        <f>重み!D28</f>
        <v>0</v>
      </c>
      <c r="X28" s="730"/>
      <c r="Y28" s="670">
        <f>重み!E28</f>
        <v>0</v>
      </c>
      <c r="Z28" s="641"/>
      <c r="AA28" s="586"/>
      <c r="AB28" s="617">
        <f>重み!M28</f>
        <v>0.1</v>
      </c>
      <c r="AC28" s="601"/>
      <c r="AD28" s="617">
        <f>重み!N28</f>
        <v>0</v>
      </c>
      <c r="AP28" s="2672">
        <f t="shared" si="8"/>
        <v>0</v>
      </c>
    </row>
    <row r="29" spans="2:58" hidden="1">
      <c r="B29" s="673"/>
      <c r="C29" s="728"/>
      <c r="D29" s="755">
        <v>8</v>
      </c>
      <c r="E29" s="756" t="s">
        <v>289</v>
      </c>
      <c r="F29" s="757"/>
      <c r="G29" s="678"/>
      <c r="H29" s="2844"/>
      <c r="I29" s="2845"/>
      <c r="J29" s="2845"/>
      <c r="K29" s="2845"/>
      <c r="L29" s="2846"/>
      <c r="M29" s="706">
        <f t="shared" si="10"/>
        <v>0</v>
      </c>
      <c r="N29" s="692">
        <f t="shared" si="5"/>
        <v>0</v>
      </c>
      <c r="O29" s="706">
        <f t="shared" si="11"/>
        <v>0</v>
      </c>
      <c r="P29" s="692">
        <f t="shared" si="6"/>
        <v>0</v>
      </c>
      <c r="Q29" s="668"/>
      <c r="R29" s="586"/>
      <c r="S29" s="707">
        <f>IF(採点Q1!K212="対象外",0,採点Q1!K212)</f>
        <v>0</v>
      </c>
      <c r="T29" s="708"/>
      <c r="V29" s="695">
        <f>M29</f>
        <v>0</v>
      </c>
      <c r="W29" s="670">
        <f>重み!D29</f>
        <v>0</v>
      </c>
      <c r="X29" s="730"/>
      <c r="Y29" s="670">
        <f>重み!E29</f>
        <v>0</v>
      </c>
      <c r="Z29" s="641"/>
      <c r="AA29" s="586"/>
      <c r="AB29" s="617">
        <f>重み!M29</f>
        <v>0</v>
      </c>
      <c r="AC29" s="601"/>
      <c r="AD29" s="617">
        <f>重み!N29</f>
        <v>0</v>
      </c>
      <c r="AP29" s="2672">
        <f t="shared" si="8"/>
        <v>0</v>
      </c>
    </row>
    <row r="30" spans="2:58">
      <c r="B30" s="673"/>
      <c r="C30" s="710">
        <v>2.2000000000000002</v>
      </c>
      <c r="D30" s="676" t="s">
        <v>290</v>
      </c>
      <c r="E30" s="731"/>
      <c r="F30" s="729"/>
      <c r="G30" s="678">
        <v>5</v>
      </c>
      <c r="H30" s="2844"/>
      <c r="I30" s="2845"/>
      <c r="J30" s="2845"/>
      <c r="K30" s="2845"/>
      <c r="L30" s="2846"/>
      <c r="M30" s="732">
        <f t="shared" si="10"/>
        <v>3</v>
      </c>
      <c r="N30" s="692">
        <f t="shared" si="5"/>
        <v>0.2</v>
      </c>
      <c r="O30" s="732">
        <f t="shared" si="11"/>
        <v>3</v>
      </c>
      <c r="P30" s="692">
        <f t="shared" si="6"/>
        <v>0</v>
      </c>
      <c r="Q30" s="668"/>
      <c r="R30" s="586"/>
      <c r="S30" s="707">
        <f>IF(採点Q1!F221="対象外",0,採点Q1!F221)</f>
        <v>3</v>
      </c>
      <c r="T30" s="708">
        <f>採点Q1!K221</f>
        <v>3</v>
      </c>
      <c r="V30" s="695">
        <f>M30</f>
        <v>3</v>
      </c>
      <c r="W30" s="670">
        <f>重み!D30</f>
        <v>0.2</v>
      </c>
      <c r="X30" s="695">
        <f>O30</f>
        <v>3</v>
      </c>
      <c r="Y30" s="670">
        <f>重み!E30</f>
        <v>0</v>
      </c>
      <c r="Z30" s="641"/>
      <c r="AA30" s="586"/>
      <c r="AB30" s="617">
        <f>重み!M30</f>
        <v>0.2</v>
      </c>
      <c r="AC30" s="601"/>
      <c r="AD30" s="617">
        <f>重み!N30</f>
        <v>0</v>
      </c>
      <c r="AP30" s="2672">
        <f t="shared" si="8"/>
        <v>0</v>
      </c>
    </row>
    <row r="31" spans="2:58" ht="14.25" thickBot="1">
      <c r="B31" s="673"/>
      <c r="C31" s="702">
        <v>2.2999999999999998</v>
      </c>
      <c r="D31" s="676" t="s">
        <v>291</v>
      </c>
      <c r="E31" s="731"/>
      <c r="F31" s="729"/>
      <c r="G31" s="678">
        <v>5</v>
      </c>
      <c r="H31" s="2844"/>
      <c r="I31" s="2845"/>
      <c r="J31" s="2845"/>
      <c r="K31" s="2845"/>
      <c r="L31" s="2846"/>
      <c r="M31" s="711">
        <f t="shared" si="10"/>
        <v>3</v>
      </c>
      <c r="N31" s="692">
        <f t="shared" si="5"/>
        <v>0.3</v>
      </c>
      <c r="O31" s="711">
        <f t="shared" si="11"/>
        <v>3</v>
      </c>
      <c r="P31" s="692">
        <f t="shared" si="6"/>
        <v>0</v>
      </c>
      <c r="Q31" s="668"/>
      <c r="R31" s="586"/>
      <c r="S31" s="700">
        <f>IF(採点Q1!F238="対象外",0,採点Q1!F238)</f>
        <v>3</v>
      </c>
      <c r="T31" s="733">
        <f>採点Q1!K238</f>
        <v>3</v>
      </c>
      <c r="V31" s="695">
        <f>M31</f>
        <v>3</v>
      </c>
      <c r="W31" s="670">
        <f>重み!D31</f>
        <v>0.3</v>
      </c>
      <c r="X31" s="695">
        <f>O31</f>
        <v>3</v>
      </c>
      <c r="Y31" s="670">
        <f>重み!E31</f>
        <v>0</v>
      </c>
      <c r="Z31" s="641"/>
      <c r="AA31" s="586"/>
      <c r="AB31" s="617">
        <f>重み!M31</f>
        <v>0.3</v>
      </c>
      <c r="AC31" s="601"/>
      <c r="AD31" s="617">
        <f>重み!N31</f>
        <v>0</v>
      </c>
      <c r="AP31" s="2672">
        <f t="shared" si="8"/>
        <v>0</v>
      </c>
    </row>
    <row r="32" spans="2:58" hidden="1">
      <c r="B32" s="673"/>
      <c r="C32" s="734"/>
      <c r="D32" s="687">
        <v>1</v>
      </c>
      <c r="E32" s="676" t="s">
        <v>292</v>
      </c>
      <c r="F32" s="729"/>
      <c r="G32" s="735"/>
      <c r="H32" s="2853"/>
      <c r="I32" s="2854"/>
      <c r="J32" s="2854"/>
      <c r="K32" s="2854"/>
      <c r="L32" s="2855"/>
      <c r="M32" s="736">
        <f t="shared" si="10"/>
        <v>0</v>
      </c>
      <c r="N32" s="737">
        <f t="shared" si="5"/>
        <v>0</v>
      </c>
      <c r="O32" s="738">
        <f t="shared" si="11"/>
        <v>0</v>
      </c>
      <c r="P32" s="737">
        <f t="shared" si="6"/>
        <v>0</v>
      </c>
      <c r="Q32" s="739"/>
      <c r="R32" s="740"/>
      <c r="S32" s="629"/>
      <c r="T32" s="629"/>
      <c r="V32" s="741"/>
      <c r="W32" s="741">
        <f>重み!D32</f>
        <v>0</v>
      </c>
      <c r="X32" s="742"/>
      <c r="Y32" s="741">
        <f>重み!E32</f>
        <v>0</v>
      </c>
      <c r="Z32" s="743"/>
      <c r="AA32" s="740"/>
      <c r="AB32" s="744">
        <f>重み!M32</f>
        <v>0</v>
      </c>
      <c r="AC32" s="745"/>
      <c r="AD32" s="744">
        <f>重み!N32</f>
        <v>0</v>
      </c>
      <c r="AP32" s="2672">
        <f t="shared" si="8"/>
        <v>0</v>
      </c>
    </row>
    <row r="33" spans="2:58" ht="14.25" hidden="1" thickBot="1">
      <c r="B33" s="746"/>
      <c r="C33" s="747"/>
      <c r="D33" s="687">
        <v>2</v>
      </c>
      <c r="E33" s="676" t="s">
        <v>1969</v>
      </c>
      <c r="F33" s="729"/>
      <c r="G33" s="735"/>
      <c r="H33" s="2853"/>
      <c r="I33" s="2854"/>
      <c r="J33" s="2854"/>
      <c r="K33" s="2854"/>
      <c r="L33" s="2855"/>
      <c r="M33" s="748">
        <f t="shared" si="10"/>
        <v>0</v>
      </c>
      <c r="N33" s="737">
        <f t="shared" si="5"/>
        <v>0</v>
      </c>
      <c r="O33" s="749">
        <f t="shared" si="11"/>
        <v>0</v>
      </c>
      <c r="P33" s="737">
        <f t="shared" si="6"/>
        <v>0</v>
      </c>
      <c r="Q33" s="739"/>
      <c r="R33" s="740"/>
      <c r="S33" s="750"/>
      <c r="T33" s="750"/>
      <c r="V33" s="741"/>
      <c r="W33" s="741">
        <f>重み!D33</f>
        <v>0</v>
      </c>
      <c r="X33" s="742"/>
      <c r="Y33" s="741">
        <f>重み!E33</f>
        <v>0</v>
      </c>
      <c r="Z33" s="743"/>
      <c r="AA33" s="740"/>
      <c r="AB33" s="744">
        <f>重み!M33</f>
        <v>0</v>
      </c>
      <c r="AC33" s="745"/>
      <c r="AD33" s="744">
        <f>重み!N33</f>
        <v>0</v>
      </c>
      <c r="AP33" s="2672">
        <f t="shared" si="8"/>
        <v>0</v>
      </c>
    </row>
    <row r="34" spans="2:58">
      <c r="B34" s="803">
        <v>3</v>
      </c>
      <c r="C34" s="712" t="s">
        <v>1970</v>
      </c>
      <c r="D34" s="825"/>
      <c r="E34" s="723"/>
      <c r="F34" s="724"/>
      <c r="G34" s="678"/>
      <c r="H34" s="714"/>
      <c r="I34" s="715"/>
      <c r="J34" s="715"/>
      <c r="K34" s="715"/>
      <c r="L34" s="716"/>
      <c r="M34" s="717">
        <f>ROUNDDOWN(V34,1)</f>
        <v>3</v>
      </c>
      <c r="N34" s="718">
        <f t="shared" si="5"/>
        <v>0.25</v>
      </c>
      <c r="O34" s="665">
        <f>ROUNDDOWN(X34,1)</f>
        <v>0</v>
      </c>
      <c r="P34" s="719">
        <f t="shared" si="6"/>
        <v>0</v>
      </c>
      <c r="Q34" s="720">
        <f>ROUNDDOWN(Z34,1)</f>
        <v>3</v>
      </c>
      <c r="R34" s="586"/>
      <c r="S34" s="721"/>
      <c r="T34" s="721"/>
      <c r="V34" s="669">
        <f>V35*W35+V39*W39+V43*W43+V46*W46</f>
        <v>3</v>
      </c>
      <c r="W34" s="670">
        <f>重み!D34</f>
        <v>0.25</v>
      </c>
      <c r="X34" s="669">
        <f>X35*Y35+X39*Y39+X43*Y43+X46*Y46</f>
        <v>0</v>
      </c>
      <c r="Y34" s="671">
        <f>SUM(Y35,Y39,Y43,Y46)</f>
        <v>0</v>
      </c>
      <c r="Z34" s="641">
        <f>IF(X34=0,V34,IF(V34=0,X34,V34*AB$6+X34*AD$6))</f>
        <v>3</v>
      </c>
      <c r="AA34" s="586"/>
      <c r="AB34" s="617">
        <f>重み!M34</f>
        <v>0.25</v>
      </c>
      <c r="AC34" s="601"/>
      <c r="AD34" s="672">
        <f>SUM(AD35,AD39,AD43,AD46)</f>
        <v>0</v>
      </c>
      <c r="AF34" s="2643">
        <v>3</v>
      </c>
      <c r="AG34" s="2643"/>
      <c r="AH34" s="2643"/>
      <c r="AI34" s="2643"/>
      <c r="AJ34" s="2643"/>
      <c r="AK34" s="2643">
        <v>0</v>
      </c>
      <c r="AL34" s="2643"/>
      <c r="AM34" s="2643"/>
      <c r="AN34" s="2643"/>
      <c r="AO34" s="2643"/>
      <c r="AP34" s="2640">
        <f t="shared" si="8"/>
        <v>3</v>
      </c>
      <c r="AQ34" s="921">
        <f>N34</f>
        <v>0.25</v>
      </c>
      <c r="AR34" s="720"/>
      <c r="AS34" s="2614"/>
      <c r="AT34" s="2639">
        <f>IF(AV34=0,0,SUMPRODUCT($AW$7:$BF$7,AF34:AO34)/AV34)</f>
        <v>3</v>
      </c>
      <c r="AV34" s="2638">
        <f>SUMPRODUCT($AW$7:$BF$7,AW34:BF34)</f>
        <v>1</v>
      </c>
      <c r="AW34" s="2624">
        <f t="shared" ref="AW34:BF34" si="12">IF(AF34&gt;0,1,0)</f>
        <v>1</v>
      </c>
      <c r="AX34" s="2624">
        <f t="shared" si="12"/>
        <v>0</v>
      </c>
      <c r="AY34" s="2624">
        <f t="shared" si="12"/>
        <v>0</v>
      </c>
      <c r="AZ34" s="2624">
        <f t="shared" si="12"/>
        <v>0</v>
      </c>
      <c r="BA34" s="2624">
        <f t="shared" si="12"/>
        <v>0</v>
      </c>
      <c r="BB34" s="2624">
        <f t="shared" si="12"/>
        <v>0</v>
      </c>
      <c r="BC34" s="2624">
        <f t="shared" si="12"/>
        <v>0</v>
      </c>
      <c r="BD34" s="2624">
        <f t="shared" si="12"/>
        <v>0</v>
      </c>
      <c r="BE34" s="2624">
        <f t="shared" si="12"/>
        <v>0</v>
      </c>
      <c r="BF34" s="2624">
        <f t="shared" si="12"/>
        <v>0</v>
      </c>
    </row>
    <row r="35" spans="2:58" ht="14.25" thickBot="1">
      <c r="B35" s="673"/>
      <c r="C35" s="674">
        <v>3.1</v>
      </c>
      <c r="D35" s="722" t="s">
        <v>1971</v>
      </c>
      <c r="E35" s="723"/>
      <c r="F35" s="724"/>
      <c r="G35" s="678">
        <v>5</v>
      </c>
      <c r="H35" s="679"/>
      <c r="I35" s="680"/>
      <c r="J35" s="680"/>
      <c r="K35" s="680"/>
      <c r="L35" s="681"/>
      <c r="M35" s="682">
        <f>ROUNDDOWN(V35,1)</f>
        <v>3</v>
      </c>
      <c r="N35" s="725">
        <f t="shared" si="5"/>
        <v>0.3</v>
      </c>
      <c r="O35" s="726">
        <f>ROUNDDOWN(X35,1)</f>
        <v>0</v>
      </c>
      <c r="P35" s="727">
        <f t="shared" si="6"/>
        <v>0</v>
      </c>
      <c r="Q35" s="684"/>
      <c r="R35" s="586"/>
      <c r="S35" s="685"/>
      <c r="T35" s="685"/>
      <c r="V35" s="669">
        <f>SUMPRODUCT(V36:V38,W36:W38)</f>
        <v>3</v>
      </c>
      <c r="W35" s="670">
        <f>重み!D35</f>
        <v>0.3</v>
      </c>
      <c r="X35" s="669">
        <f>SUMPRODUCT(X36:X38,Y36:Y38)</f>
        <v>0</v>
      </c>
      <c r="Y35" s="670">
        <f>重み!E35</f>
        <v>0</v>
      </c>
      <c r="Z35" s="641"/>
      <c r="AA35" s="586"/>
      <c r="AB35" s="617">
        <f>重み!M35</f>
        <v>0.3</v>
      </c>
      <c r="AC35" s="601"/>
      <c r="AD35" s="617">
        <f>重み!N35</f>
        <v>0</v>
      </c>
      <c r="AP35" s="2672">
        <f t="shared" si="8"/>
        <v>0</v>
      </c>
    </row>
    <row r="36" spans="2:58">
      <c r="B36" s="673"/>
      <c r="C36" s="728"/>
      <c r="D36" s="687">
        <v>1</v>
      </c>
      <c r="E36" s="676" t="s">
        <v>1972</v>
      </c>
      <c r="F36" s="729"/>
      <c r="G36" s="678"/>
      <c r="H36" s="2844"/>
      <c r="I36" s="2845"/>
      <c r="J36" s="2845"/>
      <c r="K36" s="2845"/>
      <c r="L36" s="2846"/>
      <c r="M36" s="691">
        <f>ROUNDDOWN(S36,1)</f>
        <v>3</v>
      </c>
      <c r="N36" s="692">
        <f t="shared" si="5"/>
        <v>0.6</v>
      </c>
      <c r="O36" s="691">
        <f>ROUNDDOWN(T36,1)</f>
        <v>3</v>
      </c>
      <c r="P36" s="692">
        <f t="shared" si="6"/>
        <v>0</v>
      </c>
      <c r="Q36" s="668"/>
      <c r="R36" s="586"/>
      <c r="S36" s="693">
        <f>IF(採点Q1!F266="対象外",0,採点Q1!F266)</f>
        <v>3</v>
      </c>
      <c r="T36" s="694">
        <f>採点Q1!K266</f>
        <v>3</v>
      </c>
      <c r="V36" s="695">
        <f>M36</f>
        <v>3</v>
      </c>
      <c r="W36" s="670">
        <f>重み!D36</f>
        <v>0.6</v>
      </c>
      <c r="X36" s="695">
        <f>O36</f>
        <v>3</v>
      </c>
      <c r="Y36" s="670">
        <f>重み!E36</f>
        <v>0</v>
      </c>
      <c r="Z36" s="641"/>
      <c r="AA36" s="586"/>
      <c r="AB36" s="617">
        <f>重み!M36</f>
        <v>0.6</v>
      </c>
      <c r="AC36" s="601"/>
      <c r="AD36" s="617">
        <f>重み!N36</f>
        <v>0</v>
      </c>
      <c r="AP36" s="2672">
        <f t="shared" si="8"/>
        <v>0</v>
      </c>
    </row>
    <row r="37" spans="2:58">
      <c r="B37" s="673"/>
      <c r="C37" s="728"/>
      <c r="D37" s="687">
        <v>2</v>
      </c>
      <c r="E37" s="676" t="s">
        <v>1973</v>
      </c>
      <c r="F37" s="729"/>
      <c r="G37" s="678"/>
      <c r="H37" s="2844"/>
      <c r="I37" s="2845"/>
      <c r="J37" s="2845"/>
      <c r="K37" s="2845"/>
      <c r="L37" s="2846"/>
      <c r="M37" s="706">
        <f>ROUNDDOWN(S37,1)</f>
        <v>0</v>
      </c>
      <c r="N37" s="692">
        <f t="shared" si="5"/>
        <v>0</v>
      </c>
      <c r="O37" s="706">
        <f>ROUNDDOWN(T37,1)</f>
        <v>3</v>
      </c>
      <c r="P37" s="692">
        <f t="shared" si="6"/>
        <v>0</v>
      </c>
      <c r="Q37" s="668"/>
      <c r="R37" s="586"/>
      <c r="S37" s="707"/>
      <c r="T37" s="708">
        <f>採点Q1!F275</f>
        <v>3</v>
      </c>
      <c r="V37" s="695"/>
      <c r="W37" s="670">
        <f>重み!D37</f>
        <v>0</v>
      </c>
      <c r="X37" s="695">
        <f>O37</f>
        <v>3</v>
      </c>
      <c r="Y37" s="670">
        <f>重み!E37</f>
        <v>0</v>
      </c>
      <c r="Z37" s="641"/>
      <c r="AA37" s="586"/>
      <c r="AB37" s="617">
        <f>重み!M37</f>
        <v>0</v>
      </c>
      <c r="AC37" s="601"/>
      <c r="AD37" s="617">
        <f>重み!N37</f>
        <v>0</v>
      </c>
      <c r="AP37" s="2672">
        <f t="shared" si="8"/>
        <v>0</v>
      </c>
    </row>
    <row r="38" spans="2:58" ht="14.25" thickBot="1">
      <c r="B38" s="673"/>
      <c r="C38" s="751"/>
      <c r="D38" s="687">
        <v>3</v>
      </c>
      <c r="E38" s="676" t="s">
        <v>1974</v>
      </c>
      <c r="F38" s="729"/>
      <c r="G38" s="678"/>
      <c r="H38" s="2844"/>
      <c r="I38" s="2845"/>
      <c r="J38" s="2845"/>
      <c r="K38" s="2845"/>
      <c r="L38" s="2846"/>
      <c r="M38" s="699">
        <f>ROUNDDOWN(S38,1)</f>
        <v>3</v>
      </c>
      <c r="N38" s="692">
        <f t="shared" si="5"/>
        <v>0.4</v>
      </c>
      <c r="O38" s="699">
        <f>ROUNDDOWN(T38,1)</f>
        <v>3</v>
      </c>
      <c r="P38" s="692">
        <f t="shared" si="6"/>
        <v>0</v>
      </c>
      <c r="Q38" s="668"/>
      <c r="R38" s="586"/>
      <c r="S38" s="700">
        <f>IF(採点Q1!F284="対象外",0,採点Q1!F284)</f>
        <v>3</v>
      </c>
      <c r="T38" s="701">
        <f>採点Q1!K284</f>
        <v>3</v>
      </c>
      <c r="V38" s="695">
        <f>M38</f>
        <v>3</v>
      </c>
      <c r="W38" s="670">
        <f>重み!D38</f>
        <v>0.4</v>
      </c>
      <c r="X38" s="695">
        <f>O38</f>
        <v>3</v>
      </c>
      <c r="Y38" s="670">
        <f>重み!E38</f>
        <v>0</v>
      </c>
      <c r="Z38" s="641"/>
      <c r="AA38" s="586"/>
      <c r="AB38" s="617">
        <f>重み!M38</f>
        <v>0.4</v>
      </c>
      <c r="AC38" s="601"/>
      <c r="AD38" s="617">
        <f>重み!N38</f>
        <v>0</v>
      </c>
      <c r="AP38" s="2672">
        <f t="shared" si="8"/>
        <v>0</v>
      </c>
    </row>
    <row r="39" spans="2:58" ht="14.25" thickBot="1">
      <c r="B39" s="752"/>
      <c r="C39" s="702">
        <v>3.2</v>
      </c>
      <c r="D39" s="675" t="s">
        <v>1975</v>
      </c>
      <c r="E39" s="723"/>
      <c r="F39" s="724"/>
      <c r="G39" s="678">
        <v>5</v>
      </c>
      <c r="H39" s="2844"/>
      <c r="I39" s="2845"/>
      <c r="J39" s="2845"/>
      <c r="K39" s="2845"/>
      <c r="L39" s="2863"/>
      <c r="M39" s="2506">
        <f>ROUNDDOWN(V39,1)</f>
        <v>3</v>
      </c>
      <c r="N39" s="666">
        <f t="shared" si="5"/>
        <v>0.3</v>
      </c>
      <c r="O39" s="754">
        <f>ROUNDDOWN(X39,1)</f>
        <v>0</v>
      </c>
      <c r="P39" s="667">
        <f t="shared" si="6"/>
        <v>0</v>
      </c>
      <c r="Q39" s="668"/>
      <c r="R39" s="586"/>
      <c r="S39" s="705"/>
      <c r="T39" s="705"/>
      <c r="V39" s="669">
        <f>SUMPRODUCT(V40:V42,W40:W42)</f>
        <v>3</v>
      </c>
      <c r="W39" s="670">
        <f>重み!D39</f>
        <v>0.3</v>
      </c>
      <c r="X39" s="669">
        <f>SUMPRODUCT(X40:X42,Y40:Y42)</f>
        <v>0</v>
      </c>
      <c r="Y39" s="670">
        <f>重み!E39</f>
        <v>0</v>
      </c>
      <c r="Z39" s="641"/>
      <c r="AA39" s="586"/>
      <c r="AB39" s="617">
        <f>重み!M39</f>
        <v>0.3</v>
      </c>
      <c r="AC39" s="601"/>
      <c r="AD39" s="617">
        <f>重み!N39</f>
        <v>0</v>
      </c>
      <c r="AP39" s="2672">
        <f t="shared" si="8"/>
        <v>0</v>
      </c>
    </row>
    <row r="40" spans="2:58" ht="14.25" hidden="1" thickBot="1">
      <c r="B40" s="752"/>
      <c r="C40" s="728"/>
      <c r="D40" s="755">
        <v>1</v>
      </c>
      <c r="E40" s="756" t="s">
        <v>1976</v>
      </c>
      <c r="F40" s="757"/>
      <c r="G40" s="678"/>
      <c r="H40" s="2844"/>
      <c r="I40" s="2845"/>
      <c r="J40" s="2845"/>
      <c r="K40" s="2845"/>
      <c r="L40" s="2846"/>
      <c r="M40" s="691">
        <f t="shared" ref="M40:M46" si="13">ROUNDDOWN(S40,1)</f>
        <v>0</v>
      </c>
      <c r="N40" s="692">
        <f t="shared" si="5"/>
        <v>0</v>
      </c>
      <c r="O40" s="691">
        <f>ROUNDDOWN(T40,1)</f>
        <v>0</v>
      </c>
      <c r="P40" s="692">
        <f t="shared" si="6"/>
        <v>0</v>
      </c>
      <c r="Q40" s="668"/>
      <c r="R40" s="586"/>
      <c r="S40" s="693">
        <f>IF(採点Q1!F294="対象外",0,採点Q1!F294)</f>
        <v>0</v>
      </c>
      <c r="T40" s="694">
        <f>採点Q1!K294</f>
        <v>0</v>
      </c>
      <c r="V40" s="695">
        <f>M40</f>
        <v>0</v>
      </c>
      <c r="W40" s="670">
        <f>重み!D40</f>
        <v>0</v>
      </c>
      <c r="X40" s="695">
        <f>O40</f>
        <v>0</v>
      </c>
      <c r="Y40" s="670">
        <f>重み!E40</f>
        <v>0</v>
      </c>
      <c r="Z40" s="641"/>
      <c r="AA40" s="586"/>
      <c r="AB40" s="617">
        <f>重み!M40</f>
        <v>0.4</v>
      </c>
      <c r="AC40" s="601"/>
      <c r="AD40" s="617">
        <f>重み!N40</f>
        <v>0</v>
      </c>
      <c r="AP40" s="2672">
        <f t="shared" si="8"/>
        <v>0</v>
      </c>
    </row>
    <row r="41" spans="2:58">
      <c r="B41" s="752"/>
      <c r="C41" s="728"/>
      <c r="D41" s="687">
        <v>1</v>
      </c>
      <c r="E41" s="676" t="s">
        <v>1977</v>
      </c>
      <c r="F41" s="729"/>
      <c r="G41" s="678"/>
      <c r="H41" s="2844"/>
      <c r="I41" s="2845"/>
      <c r="J41" s="2845"/>
      <c r="K41" s="2845"/>
      <c r="L41" s="2846"/>
      <c r="M41" s="706">
        <f t="shared" si="13"/>
        <v>3</v>
      </c>
      <c r="N41" s="692">
        <f t="shared" si="5"/>
        <v>1</v>
      </c>
      <c r="O41" s="839">
        <f>ROUNDDOWN(T41,1)</f>
        <v>3</v>
      </c>
      <c r="P41" s="692">
        <f t="shared" si="6"/>
        <v>0</v>
      </c>
      <c r="Q41" s="668"/>
      <c r="R41" s="586"/>
      <c r="S41" s="707">
        <f>IF(採点Q1!F303="対象外",0,採点Q1!F303)</f>
        <v>3</v>
      </c>
      <c r="T41" s="708">
        <f>採点Q1!K303</f>
        <v>3</v>
      </c>
      <c r="V41" s="695">
        <f>M41</f>
        <v>3</v>
      </c>
      <c r="W41" s="670">
        <f>重み!D41</f>
        <v>1</v>
      </c>
      <c r="X41" s="695">
        <f>O41</f>
        <v>3</v>
      </c>
      <c r="Y41" s="670">
        <f>重み!E41</f>
        <v>0</v>
      </c>
      <c r="Z41" s="641"/>
      <c r="AA41" s="586"/>
      <c r="AB41" s="617">
        <f>重み!M41</f>
        <v>0.6</v>
      </c>
      <c r="AC41" s="601"/>
      <c r="AD41" s="617">
        <f>重み!N41</f>
        <v>0</v>
      </c>
      <c r="AP41" s="2672">
        <f t="shared" si="8"/>
        <v>0</v>
      </c>
    </row>
    <row r="42" spans="2:58" hidden="1">
      <c r="B42" s="752"/>
      <c r="C42" s="751"/>
      <c r="D42" s="755">
        <v>2</v>
      </c>
      <c r="E42" s="756" t="s">
        <v>1077</v>
      </c>
      <c r="F42" s="757"/>
      <c r="G42" s="678"/>
      <c r="H42" s="2844"/>
      <c r="I42" s="2845"/>
      <c r="J42" s="2845"/>
      <c r="K42" s="2845"/>
      <c r="L42" s="2846"/>
      <c r="M42" s="706">
        <f t="shared" si="13"/>
        <v>0</v>
      </c>
      <c r="N42" s="692"/>
      <c r="O42" s="732"/>
      <c r="P42" s="692"/>
      <c r="Q42" s="668"/>
      <c r="R42" s="586"/>
      <c r="S42" s="707">
        <f>採点Q1!F312</f>
        <v>0</v>
      </c>
      <c r="T42" s="708"/>
      <c r="V42" s="695">
        <f>M42</f>
        <v>0</v>
      </c>
      <c r="W42" s="670">
        <f>重み!D42</f>
        <v>0</v>
      </c>
      <c r="X42" s="695">
        <f>O42</f>
        <v>0</v>
      </c>
      <c r="Y42" s="670">
        <f>重み!E42</f>
        <v>0</v>
      </c>
      <c r="Z42" s="641"/>
      <c r="AA42" s="586"/>
      <c r="AB42" s="617">
        <f>重み!M42</f>
        <v>0</v>
      </c>
      <c r="AC42" s="601"/>
      <c r="AD42" s="617">
        <f>重み!N42</f>
        <v>0</v>
      </c>
      <c r="AP42" s="2672">
        <f t="shared" si="8"/>
        <v>0</v>
      </c>
    </row>
    <row r="43" spans="2:58">
      <c r="B43" s="759"/>
      <c r="C43" s="674">
        <v>3.3</v>
      </c>
      <c r="D43" s="722" t="s">
        <v>1078</v>
      </c>
      <c r="E43" s="722"/>
      <c r="F43" s="760"/>
      <c r="G43" s="678">
        <v>5</v>
      </c>
      <c r="H43" s="2844"/>
      <c r="I43" s="2845"/>
      <c r="J43" s="2845"/>
      <c r="K43" s="2845"/>
      <c r="L43" s="2846"/>
      <c r="M43" s="732">
        <f t="shared" si="13"/>
        <v>3</v>
      </c>
      <c r="N43" s="666">
        <f t="shared" ref="N43:N74" si="14">W43</f>
        <v>0.15</v>
      </c>
      <c r="O43" s="732">
        <f>ROUNDDOWN(T43,1)</f>
        <v>3</v>
      </c>
      <c r="P43" s="667">
        <f t="shared" ref="P43:P74" si="15">Y43</f>
        <v>0</v>
      </c>
      <c r="Q43" s="668"/>
      <c r="R43" s="586"/>
      <c r="S43" s="707">
        <f>IF(採点Q1!F326="対象外",0,採点Q1!F326)</f>
        <v>3</v>
      </c>
      <c r="T43" s="708">
        <f>採点Q1!M326</f>
        <v>3</v>
      </c>
      <c r="V43" s="761">
        <f>M43</f>
        <v>3</v>
      </c>
      <c r="W43" s="670">
        <f>重み!D43</f>
        <v>0.15</v>
      </c>
      <c r="X43" s="761">
        <f>O43</f>
        <v>3</v>
      </c>
      <c r="Y43" s="670">
        <f>重み!E43</f>
        <v>0</v>
      </c>
      <c r="Z43" s="641"/>
      <c r="AA43" s="586"/>
      <c r="AB43" s="617">
        <f>重み!M43</f>
        <v>0.15</v>
      </c>
      <c r="AC43" s="601"/>
      <c r="AD43" s="617">
        <f>重み!N43</f>
        <v>0</v>
      </c>
      <c r="AP43" s="2672">
        <f t="shared" si="8"/>
        <v>0</v>
      </c>
    </row>
    <row r="44" spans="2:58" hidden="1">
      <c r="B44" s="759"/>
      <c r="C44" s="686"/>
      <c r="D44" s="755">
        <v>1</v>
      </c>
      <c r="E44" s="756" t="s">
        <v>1079</v>
      </c>
      <c r="F44" s="757"/>
      <c r="G44" s="678"/>
      <c r="H44" s="2844"/>
      <c r="I44" s="2845"/>
      <c r="J44" s="2845"/>
      <c r="K44" s="2845"/>
      <c r="L44" s="2846"/>
      <c r="M44" s="706">
        <f t="shared" si="13"/>
        <v>0</v>
      </c>
      <c r="N44" s="692">
        <f t="shared" si="14"/>
        <v>0</v>
      </c>
      <c r="O44" s="706">
        <f>ROUNDDOWN(T44,1)</f>
        <v>0</v>
      </c>
      <c r="P44" s="692">
        <f t="shared" si="15"/>
        <v>0</v>
      </c>
      <c r="Q44" s="668"/>
      <c r="R44" s="586"/>
      <c r="S44" s="707"/>
      <c r="T44" s="708"/>
      <c r="W44" s="670">
        <f>重み!D44</f>
        <v>0</v>
      </c>
      <c r="Y44" s="670">
        <f>重み!E44</f>
        <v>0</v>
      </c>
      <c r="Z44" s="641"/>
      <c r="AA44" s="586"/>
      <c r="AB44" s="617">
        <f>重み!M44</f>
        <v>0</v>
      </c>
      <c r="AC44" s="601"/>
      <c r="AD44" s="617">
        <f>重み!N44</f>
        <v>0</v>
      </c>
      <c r="AP44" s="2672">
        <f t="shared" si="8"/>
        <v>0</v>
      </c>
    </row>
    <row r="45" spans="2:58" hidden="1">
      <c r="B45" s="759"/>
      <c r="C45" s="696"/>
      <c r="D45" s="755">
        <v>2</v>
      </c>
      <c r="E45" s="756" t="s">
        <v>1080</v>
      </c>
      <c r="F45" s="757"/>
      <c r="G45" s="678"/>
      <c r="H45" s="2844"/>
      <c r="I45" s="2845"/>
      <c r="J45" s="2845"/>
      <c r="K45" s="2845"/>
      <c r="L45" s="2846"/>
      <c r="M45" s="706">
        <f t="shared" si="13"/>
        <v>0</v>
      </c>
      <c r="N45" s="692">
        <f t="shared" si="14"/>
        <v>0</v>
      </c>
      <c r="O45" s="706">
        <f>ROUNDDOWN(T45,1)</f>
        <v>0</v>
      </c>
      <c r="P45" s="692">
        <f t="shared" si="15"/>
        <v>0</v>
      </c>
      <c r="Q45" s="668"/>
      <c r="R45" s="586"/>
      <c r="S45" s="707"/>
      <c r="T45" s="708"/>
      <c r="W45" s="670">
        <f>重み!D45</f>
        <v>0</v>
      </c>
      <c r="Y45" s="670">
        <f>重み!E45</f>
        <v>0</v>
      </c>
      <c r="Z45" s="641"/>
      <c r="AA45" s="586"/>
      <c r="AB45" s="617">
        <f>重み!M45</f>
        <v>0</v>
      </c>
      <c r="AC45" s="601"/>
      <c r="AD45" s="617">
        <f>重み!N45</f>
        <v>0</v>
      </c>
      <c r="AP45" s="2672">
        <f t="shared" si="8"/>
        <v>0</v>
      </c>
    </row>
    <row r="46" spans="2:58" ht="14.25" thickBot="1">
      <c r="B46" s="762"/>
      <c r="C46" s="710">
        <v>3.4</v>
      </c>
      <c r="D46" s="2856" t="s">
        <v>1081</v>
      </c>
      <c r="E46" s="2857"/>
      <c r="F46" s="729"/>
      <c r="G46" s="678">
        <v>5</v>
      </c>
      <c r="H46" s="2844"/>
      <c r="I46" s="2845"/>
      <c r="J46" s="2845"/>
      <c r="K46" s="2845"/>
      <c r="L46" s="2846"/>
      <c r="M46" s="711">
        <f t="shared" si="13"/>
        <v>3</v>
      </c>
      <c r="N46" s="692">
        <f t="shared" si="14"/>
        <v>0.25</v>
      </c>
      <c r="O46" s="711">
        <f>ROUNDDOWN(T46,1)</f>
        <v>3</v>
      </c>
      <c r="P46" s="692">
        <f t="shared" si="15"/>
        <v>0</v>
      </c>
      <c r="Q46" s="668"/>
      <c r="R46" s="586"/>
      <c r="S46" s="700">
        <f>IF(採点Q1!F344="対象外",0,採点Q1!F344)</f>
        <v>3</v>
      </c>
      <c r="T46" s="701">
        <f>採点Q1!K344</f>
        <v>3</v>
      </c>
      <c r="V46" s="695">
        <f>M46</f>
        <v>3</v>
      </c>
      <c r="W46" s="670">
        <f>重み!D46</f>
        <v>0.25</v>
      </c>
      <c r="X46" s="695">
        <f>O46</f>
        <v>3</v>
      </c>
      <c r="Y46" s="670">
        <f>重み!E46</f>
        <v>0</v>
      </c>
      <c r="Z46" s="641"/>
      <c r="AA46" s="586"/>
      <c r="AB46" s="617">
        <f>重み!M46</f>
        <v>0.25</v>
      </c>
      <c r="AC46" s="601"/>
      <c r="AD46" s="617">
        <f>重み!N46</f>
        <v>0</v>
      </c>
      <c r="AP46" s="2672">
        <f t="shared" si="8"/>
        <v>0</v>
      </c>
    </row>
    <row r="47" spans="2:58">
      <c r="B47" s="803">
        <v>4</v>
      </c>
      <c r="C47" s="712" t="s">
        <v>1082</v>
      </c>
      <c r="D47" s="825"/>
      <c r="E47" s="723"/>
      <c r="F47" s="724"/>
      <c r="G47" s="678"/>
      <c r="H47" s="714"/>
      <c r="I47" s="715"/>
      <c r="J47" s="715"/>
      <c r="K47" s="715"/>
      <c r="L47" s="716"/>
      <c r="M47" s="717">
        <f>ROUNDDOWN(V47,1)</f>
        <v>3</v>
      </c>
      <c r="N47" s="718">
        <f t="shared" si="14"/>
        <v>0.25</v>
      </c>
      <c r="O47" s="665">
        <f>ROUNDDOWN(X47,1)</f>
        <v>0</v>
      </c>
      <c r="P47" s="719">
        <f t="shared" si="15"/>
        <v>0</v>
      </c>
      <c r="Q47" s="720">
        <f>ROUNDDOWN(Z47,1)</f>
        <v>3</v>
      </c>
      <c r="R47" s="586"/>
      <c r="S47" s="721"/>
      <c r="T47" s="721"/>
      <c r="V47" s="669">
        <f>V48*W48+V53*W53+V58*W58</f>
        <v>3</v>
      </c>
      <c r="W47" s="670">
        <f>重み!D47</f>
        <v>0.25</v>
      </c>
      <c r="X47" s="669">
        <f>X48*Y48+X53*Y53+X58*Y58</f>
        <v>0</v>
      </c>
      <c r="Y47" s="671">
        <f>SUM(Y48,Y53,Y58)</f>
        <v>0</v>
      </c>
      <c r="Z47" s="641">
        <f>IF(X47=0,V47,IF(V47=0,X47,V47*AB$6+X47*AD$6))</f>
        <v>3</v>
      </c>
      <c r="AA47" s="586"/>
      <c r="AB47" s="617">
        <f>重み!M47</f>
        <v>0.25</v>
      </c>
      <c r="AC47" s="601"/>
      <c r="AD47" s="672">
        <f>SUM(AD48,AD53,AD58)</f>
        <v>0</v>
      </c>
      <c r="AF47" s="2643">
        <v>3</v>
      </c>
      <c r="AG47" s="2643"/>
      <c r="AH47" s="2643"/>
      <c r="AI47" s="2643"/>
      <c r="AJ47" s="2643"/>
      <c r="AK47" s="2643">
        <v>0</v>
      </c>
      <c r="AL47" s="2643"/>
      <c r="AM47" s="2643"/>
      <c r="AN47" s="2643"/>
      <c r="AO47" s="2643"/>
      <c r="AP47" s="2640">
        <f t="shared" si="8"/>
        <v>3</v>
      </c>
      <c r="AQ47" s="921">
        <f>N47</f>
        <v>0.25</v>
      </c>
      <c r="AR47" s="720"/>
      <c r="AS47" s="2614"/>
      <c r="AT47" s="2639">
        <f>IF(AV47=0,0,SUMPRODUCT($AW$7:$BF$7,AF47:AO47)/AV47)</f>
        <v>3</v>
      </c>
      <c r="AV47" s="2638">
        <f>SUMPRODUCT($AW$7:$BF$7,AW47:BF47)</f>
        <v>1</v>
      </c>
      <c r="AW47" s="2624">
        <f t="shared" ref="AW47:BF47" si="16">IF(AF47&gt;0,1,0)</f>
        <v>1</v>
      </c>
      <c r="AX47" s="2624">
        <f t="shared" si="16"/>
        <v>0</v>
      </c>
      <c r="AY47" s="2624">
        <f t="shared" si="16"/>
        <v>0</v>
      </c>
      <c r="AZ47" s="2624">
        <f t="shared" si="16"/>
        <v>0</v>
      </c>
      <c r="BA47" s="2624">
        <f t="shared" si="16"/>
        <v>0</v>
      </c>
      <c r="BB47" s="2624">
        <f t="shared" si="16"/>
        <v>0</v>
      </c>
      <c r="BC47" s="2624">
        <f t="shared" si="16"/>
        <v>0</v>
      </c>
      <c r="BD47" s="2624">
        <f t="shared" si="16"/>
        <v>0</v>
      </c>
      <c r="BE47" s="2624">
        <f t="shared" si="16"/>
        <v>0</v>
      </c>
      <c r="BF47" s="2624">
        <f t="shared" si="16"/>
        <v>0</v>
      </c>
    </row>
    <row r="48" spans="2:58" ht="14.25" thickBot="1">
      <c r="B48" s="673"/>
      <c r="C48" s="674">
        <v>4.0999999999999996</v>
      </c>
      <c r="D48" s="722" t="s">
        <v>1083</v>
      </c>
      <c r="E48" s="722"/>
      <c r="F48" s="760"/>
      <c r="G48" s="763" t="s">
        <v>1083</v>
      </c>
      <c r="H48" s="662"/>
      <c r="I48" s="663"/>
      <c r="J48" s="663"/>
      <c r="K48" s="663"/>
      <c r="L48" s="664"/>
      <c r="M48" s="753">
        <f>ROUNDDOWN(V48,1)</f>
        <v>3</v>
      </c>
      <c r="N48" s="666">
        <f t="shared" si="14"/>
        <v>0.5</v>
      </c>
      <c r="O48" s="754">
        <f>ROUNDDOWN(X48,1)</f>
        <v>0</v>
      </c>
      <c r="P48" s="667">
        <f t="shared" si="15"/>
        <v>0</v>
      </c>
      <c r="Q48" s="668"/>
      <c r="R48" s="586"/>
      <c r="S48" s="685"/>
      <c r="T48" s="685"/>
      <c r="V48" s="669">
        <f>SUMPRODUCT(V49:V52,W49:W52)</f>
        <v>3</v>
      </c>
      <c r="W48" s="670">
        <f>重み!D48</f>
        <v>0.5</v>
      </c>
      <c r="X48" s="669">
        <f>SUMPRODUCT(X49:X52,Y49:Y52)</f>
        <v>0</v>
      </c>
      <c r="Y48" s="670">
        <f>重み!E48</f>
        <v>0</v>
      </c>
      <c r="Z48" s="641"/>
      <c r="AA48" s="586"/>
      <c r="AB48" s="617">
        <f>重み!M48</f>
        <v>0.5</v>
      </c>
      <c r="AC48" s="601"/>
      <c r="AD48" s="617">
        <f>重み!N48</f>
        <v>0</v>
      </c>
    </row>
    <row r="49" spans="2:58">
      <c r="B49" s="673"/>
      <c r="C49" s="728"/>
      <c r="D49" s="687">
        <v>1</v>
      </c>
      <c r="E49" s="676" t="s">
        <v>1084</v>
      </c>
      <c r="F49" s="729"/>
      <c r="G49" s="764">
        <v>2</v>
      </c>
      <c r="H49" s="2844"/>
      <c r="I49" s="2845"/>
      <c r="J49" s="2845"/>
      <c r="K49" s="2845"/>
      <c r="L49" s="2846"/>
      <c r="M49" s="691">
        <f>ROUNDDOWN(S49,1)</f>
        <v>3</v>
      </c>
      <c r="N49" s="692">
        <f t="shared" si="14"/>
        <v>1</v>
      </c>
      <c r="O49" s="691">
        <f>ROUNDDOWN(T49,1)</f>
        <v>3</v>
      </c>
      <c r="P49" s="692">
        <f t="shared" si="15"/>
        <v>0</v>
      </c>
      <c r="Q49" s="668"/>
      <c r="R49" s="586"/>
      <c r="S49" s="693">
        <f>IF(採点Q1!F362="対象外",0,採点Q1!F362)</f>
        <v>3</v>
      </c>
      <c r="T49" s="694">
        <f>採点Q1!K362</f>
        <v>3</v>
      </c>
      <c r="V49" s="695">
        <f>M49</f>
        <v>3</v>
      </c>
      <c r="W49" s="670">
        <f>重み!D49</f>
        <v>1</v>
      </c>
      <c r="X49" s="695">
        <f>O49</f>
        <v>3</v>
      </c>
      <c r="Y49" s="670">
        <f>重み!E49</f>
        <v>0</v>
      </c>
      <c r="Z49" s="641"/>
      <c r="AA49" s="586"/>
      <c r="AB49" s="617">
        <f>重み!M49</f>
        <v>0.33333333333333331</v>
      </c>
      <c r="AC49" s="601"/>
      <c r="AD49" s="617">
        <f>重み!N49</f>
        <v>0</v>
      </c>
    </row>
    <row r="50" spans="2:58" ht="14.25" thickBot="1">
      <c r="B50" s="673"/>
      <c r="C50" s="728"/>
      <c r="D50" s="755">
        <v>2</v>
      </c>
      <c r="E50" s="756" t="s">
        <v>1085</v>
      </c>
      <c r="F50" s="757"/>
      <c r="G50" s="678"/>
      <c r="H50" s="2844"/>
      <c r="I50" s="2845"/>
      <c r="J50" s="2845"/>
      <c r="K50" s="2845"/>
      <c r="L50" s="2846"/>
      <c r="M50" s="699">
        <f>ROUNDDOWN(S50,1)</f>
        <v>0</v>
      </c>
      <c r="N50" s="692">
        <f t="shared" si="14"/>
        <v>0</v>
      </c>
      <c r="O50" s="699">
        <f>ROUNDDOWN(T50,1)</f>
        <v>0</v>
      </c>
      <c r="P50" s="692">
        <f t="shared" si="15"/>
        <v>0</v>
      </c>
      <c r="Q50" s="668"/>
      <c r="R50" s="586"/>
      <c r="S50" s="707">
        <f>採点Q1!F371</f>
        <v>0</v>
      </c>
      <c r="T50" s="708">
        <f>採点Q1!K371</f>
        <v>0</v>
      </c>
      <c r="V50" s="695">
        <f>M50</f>
        <v>0</v>
      </c>
      <c r="W50" s="670">
        <f>重み!D50</f>
        <v>0</v>
      </c>
      <c r="X50" s="695">
        <f>O50</f>
        <v>0</v>
      </c>
      <c r="Y50" s="670">
        <f>重み!E50</f>
        <v>0</v>
      </c>
      <c r="Z50" s="641"/>
      <c r="AA50" s="586"/>
      <c r="AB50" s="617">
        <f>重み!M50</f>
        <v>0</v>
      </c>
      <c r="AC50" s="601"/>
      <c r="AD50" s="617">
        <f>重み!N50</f>
        <v>0</v>
      </c>
    </row>
    <row r="51" spans="2:58" hidden="1">
      <c r="B51" s="673"/>
      <c r="C51" s="728"/>
      <c r="D51" s="755">
        <v>3</v>
      </c>
      <c r="E51" s="756" t="s">
        <v>1086</v>
      </c>
      <c r="F51" s="757"/>
      <c r="G51" s="678"/>
      <c r="H51" s="2844"/>
      <c r="I51" s="2845"/>
      <c r="J51" s="2845"/>
      <c r="K51" s="2845"/>
      <c r="L51" s="2846"/>
      <c r="M51" s="706">
        <f>ROUNDDOWN(S51,1)</f>
        <v>0</v>
      </c>
      <c r="N51" s="692">
        <f t="shared" si="14"/>
        <v>0</v>
      </c>
      <c r="O51" s="706">
        <f>ROUNDDOWN(T51,1)</f>
        <v>0</v>
      </c>
      <c r="P51" s="692">
        <f t="shared" si="15"/>
        <v>0</v>
      </c>
      <c r="Q51" s="668"/>
      <c r="R51" s="586"/>
      <c r="S51" s="707">
        <f>IF(採点Q1!F380="対象外",0,採点Q1!F380)</f>
        <v>0</v>
      </c>
      <c r="T51" s="708">
        <f>採点Q1!K380</f>
        <v>0</v>
      </c>
      <c r="V51" s="695">
        <f>M51</f>
        <v>0</v>
      </c>
      <c r="W51" s="670">
        <f>重み!D51</f>
        <v>0</v>
      </c>
      <c r="X51" s="695">
        <f>O51</f>
        <v>0</v>
      </c>
      <c r="Y51" s="670">
        <f>重み!E51</f>
        <v>0</v>
      </c>
      <c r="Z51" s="641"/>
      <c r="AA51" s="586"/>
      <c r="AB51" s="617">
        <f>重み!M51</f>
        <v>0.33333333333333331</v>
      </c>
      <c r="AC51" s="601"/>
      <c r="AD51" s="617">
        <f>重み!N51</f>
        <v>0</v>
      </c>
    </row>
    <row r="52" spans="2:58" ht="14.25" hidden="1" thickBot="1">
      <c r="B52" s="673"/>
      <c r="C52" s="751"/>
      <c r="D52" s="755">
        <v>4</v>
      </c>
      <c r="E52" s="756" t="s">
        <v>1087</v>
      </c>
      <c r="F52" s="757"/>
      <c r="G52" s="678"/>
      <c r="H52" s="2844"/>
      <c r="I52" s="2845"/>
      <c r="J52" s="2845"/>
      <c r="K52" s="2845"/>
      <c r="L52" s="2846"/>
      <c r="M52" s="699">
        <f>ROUNDDOWN(S52,1)</f>
        <v>0</v>
      </c>
      <c r="N52" s="692">
        <f t="shared" si="14"/>
        <v>0</v>
      </c>
      <c r="O52" s="699">
        <f>ROUNDDOWN(T52,1)</f>
        <v>0</v>
      </c>
      <c r="P52" s="692">
        <f t="shared" si="15"/>
        <v>0</v>
      </c>
      <c r="Q52" s="668"/>
      <c r="R52" s="586"/>
      <c r="S52" s="700">
        <f>IF(採点Q1!F389="対象外",0,採点Q1!F389)</f>
        <v>0</v>
      </c>
      <c r="T52" s="701">
        <f>採点Q1!K389</f>
        <v>0</v>
      </c>
      <c r="V52" s="695">
        <f>M52</f>
        <v>0</v>
      </c>
      <c r="W52" s="670">
        <f>重み!D52</f>
        <v>0</v>
      </c>
      <c r="X52" s="695">
        <f>O52</f>
        <v>0</v>
      </c>
      <c r="Y52" s="670">
        <f>重み!E52</f>
        <v>0</v>
      </c>
      <c r="Z52" s="641"/>
      <c r="AA52" s="586"/>
      <c r="AB52" s="617">
        <f>重み!M52</f>
        <v>0.33333333333333331</v>
      </c>
      <c r="AC52" s="601"/>
      <c r="AD52" s="617">
        <f>重み!N52</f>
        <v>0</v>
      </c>
    </row>
    <row r="53" spans="2:58" ht="14.25" thickBot="1">
      <c r="B53" s="752"/>
      <c r="C53" s="674">
        <v>4.2</v>
      </c>
      <c r="D53" s="722" t="s">
        <v>1088</v>
      </c>
      <c r="E53" s="723"/>
      <c r="F53" s="729"/>
      <c r="G53" s="765">
        <v>5</v>
      </c>
      <c r="H53" s="662"/>
      <c r="I53" s="663"/>
      <c r="J53" s="663"/>
      <c r="K53" s="663"/>
      <c r="L53" s="664"/>
      <c r="M53" s="753">
        <f>ROUNDDOWN(V53,1)</f>
        <v>3</v>
      </c>
      <c r="N53" s="666">
        <f t="shared" si="14"/>
        <v>0.3</v>
      </c>
      <c r="O53" s="754">
        <f>ROUNDDOWN(X53,1)</f>
        <v>0</v>
      </c>
      <c r="P53" s="667">
        <f t="shared" si="15"/>
        <v>0</v>
      </c>
      <c r="Q53" s="668"/>
      <c r="R53" s="586"/>
      <c r="S53" s="705"/>
      <c r="T53" s="705"/>
      <c r="V53" s="669">
        <f>SUMPRODUCT(V54:V57,W54:W57)</f>
        <v>3</v>
      </c>
      <c r="W53" s="670">
        <f>重み!D53</f>
        <v>0.3</v>
      </c>
      <c r="X53" s="669">
        <f>SUMPRODUCT(X54:X57,Y54:Y57)</f>
        <v>0</v>
      </c>
      <c r="Y53" s="670">
        <f>重み!E53</f>
        <v>0</v>
      </c>
      <c r="Z53" s="641"/>
      <c r="AA53" s="586"/>
      <c r="AB53" s="617">
        <f>重み!M53</f>
        <v>0.3</v>
      </c>
      <c r="AC53" s="601"/>
      <c r="AD53" s="617">
        <f>重み!N53</f>
        <v>0</v>
      </c>
    </row>
    <row r="54" spans="2:58">
      <c r="B54" s="752"/>
      <c r="C54" s="686"/>
      <c r="D54" s="687">
        <v>1</v>
      </c>
      <c r="E54" s="676" t="s">
        <v>1089</v>
      </c>
      <c r="F54" s="766"/>
      <c r="G54" s="678"/>
      <c r="H54" s="2844"/>
      <c r="I54" s="2845"/>
      <c r="J54" s="2845"/>
      <c r="K54" s="2845"/>
      <c r="L54" s="2846"/>
      <c r="M54" s="691">
        <f>ROUNDDOWN(S54,1)</f>
        <v>3</v>
      </c>
      <c r="N54" s="692">
        <f t="shared" si="14"/>
        <v>0.33333333333333331</v>
      </c>
      <c r="O54" s="691">
        <f>ROUNDDOWN(T54,1)</f>
        <v>3</v>
      </c>
      <c r="P54" s="692">
        <f t="shared" si="15"/>
        <v>0</v>
      </c>
      <c r="Q54" s="668"/>
      <c r="R54" s="586"/>
      <c r="S54" s="693">
        <f>IF(採点Q1!F399="対象外",0,採点Q1!F399)</f>
        <v>3</v>
      </c>
      <c r="T54" s="694">
        <f>採点Q1!K399</f>
        <v>3</v>
      </c>
      <c r="V54" s="695">
        <f>M54</f>
        <v>3</v>
      </c>
      <c r="W54" s="670">
        <f>重み!D54</f>
        <v>0.33333333333333331</v>
      </c>
      <c r="X54" s="695">
        <f>O54</f>
        <v>3</v>
      </c>
      <c r="Y54" s="670">
        <f>重み!E54</f>
        <v>0</v>
      </c>
      <c r="Z54" s="641"/>
      <c r="AA54" s="586"/>
      <c r="AB54" s="617">
        <f>重み!M54</f>
        <v>0.25</v>
      </c>
      <c r="AC54" s="601"/>
      <c r="AD54" s="617">
        <f>重み!N54</f>
        <v>0</v>
      </c>
    </row>
    <row r="55" spans="2:58">
      <c r="B55" s="752"/>
      <c r="C55" s="686"/>
      <c r="D55" s="687">
        <v>2</v>
      </c>
      <c r="E55" s="676" t="s">
        <v>2581</v>
      </c>
      <c r="F55" s="729"/>
      <c r="G55" s="678"/>
      <c r="H55" s="2844"/>
      <c r="I55" s="2845"/>
      <c r="J55" s="2845"/>
      <c r="K55" s="2845"/>
      <c r="L55" s="2846"/>
      <c r="M55" s="706">
        <f>ROUNDDOWN(S55,1)</f>
        <v>3</v>
      </c>
      <c r="N55" s="692">
        <f t="shared" si="14"/>
        <v>0.33333333333333331</v>
      </c>
      <c r="O55" s="706">
        <f>ROUNDDOWN(T55,1)</f>
        <v>3</v>
      </c>
      <c r="P55" s="692">
        <f t="shared" si="15"/>
        <v>0</v>
      </c>
      <c r="Q55" s="668"/>
      <c r="R55" s="586"/>
      <c r="S55" s="707">
        <f>IF(採点Q1!F408="対象外",0,採点Q1!F408)</f>
        <v>3</v>
      </c>
      <c r="T55" s="708">
        <f>採点Q1!K408</f>
        <v>3</v>
      </c>
      <c r="V55" s="695">
        <f>M55</f>
        <v>3</v>
      </c>
      <c r="W55" s="670">
        <f>重み!D55</f>
        <v>0.33333333333333331</v>
      </c>
      <c r="X55" s="695">
        <f>O55</f>
        <v>3</v>
      </c>
      <c r="Y55" s="670">
        <f>重み!E55</f>
        <v>0</v>
      </c>
      <c r="Z55" s="641"/>
      <c r="AA55" s="586"/>
      <c r="AB55" s="617">
        <f>重み!M55</f>
        <v>0.25</v>
      </c>
      <c r="AC55" s="601"/>
      <c r="AD55" s="617">
        <f>重み!N55</f>
        <v>0</v>
      </c>
    </row>
    <row r="56" spans="2:58" ht="14.25" thickBot="1">
      <c r="B56" s="752"/>
      <c r="C56" s="686"/>
      <c r="D56" s="687">
        <v>3</v>
      </c>
      <c r="E56" s="676" t="s">
        <v>2582</v>
      </c>
      <c r="F56" s="729"/>
      <c r="G56" s="678"/>
      <c r="H56" s="2844"/>
      <c r="I56" s="2845"/>
      <c r="J56" s="2845"/>
      <c r="K56" s="2845"/>
      <c r="L56" s="2846"/>
      <c r="M56" s="699">
        <f>ROUNDDOWN(S56,1)</f>
        <v>3</v>
      </c>
      <c r="N56" s="692">
        <f t="shared" si="14"/>
        <v>0.33333333333333331</v>
      </c>
      <c r="O56" s="699">
        <f>ROUNDDOWN(T56,1)</f>
        <v>3</v>
      </c>
      <c r="P56" s="692">
        <f t="shared" si="15"/>
        <v>0</v>
      </c>
      <c r="Q56" s="668"/>
      <c r="R56" s="586"/>
      <c r="S56" s="707">
        <f>IF(採点Q1!F417="対象外",0,採点Q1!F417)</f>
        <v>3</v>
      </c>
      <c r="T56" s="708">
        <f>採点Q1!K417</f>
        <v>3</v>
      </c>
      <c r="V56" s="695">
        <f>M56</f>
        <v>3</v>
      </c>
      <c r="W56" s="670">
        <f>重み!D56</f>
        <v>0.33333333333333331</v>
      </c>
      <c r="X56" s="695">
        <f>O56</f>
        <v>3</v>
      </c>
      <c r="Y56" s="670">
        <f>重み!E56</f>
        <v>0</v>
      </c>
      <c r="Z56" s="641"/>
      <c r="AA56" s="586"/>
      <c r="AB56" s="617">
        <f>重み!M56</f>
        <v>0.25</v>
      </c>
      <c r="AC56" s="601"/>
      <c r="AD56" s="617">
        <f>重み!N56</f>
        <v>0</v>
      </c>
    </row>
    <row r="57" spans="2:58" ht="14.25" hidden="1" thickBot="1">
      <c r="B57" s="752"/>
      <c r="C57" s="696"/>
      <c r="D57" s="755">
        <v>4</v>
      </c>
      <c r="E57" s="756" t="s">
        <v>2583</v>
      </c>
      <c r="F57" s="757"/>
      <c r="G57" s="678"/>
      <c r="H57" s="2844"/>
      <c r="I57" s="2845"/>
      <c r="J57" s="2845"/>
      <c r="K57" s="2845"/>
      <c r="L57" s="2846"/>
      <c r="M57" s="699">
        <f>ROUNDDOWN(S57,1)</f>
        <v>0</v>
      </c>
      <c r="N57" s="692">
        <f t="shared" si="14"/>
        <v>0</v>
      </c>
      <c r="O57" s="699">
        <f>ROUNDDOWN(T57,1)</f>
        <v>0</v>
      </c>
      <c r="P57" s="692">
        <f t="shared" si="15"/>
        <v>0</v>
      </c>
      <c r="Q57" s="668"/>
      <c r="R57" s="586"/>
      <c r="S57" s="700">
        <f>IF(採点Q1!F426="対象外",0,採点Q1!F426)</f>
        <v>0</v>
      </c>
      <c r="T57" s="701">
        <f>採点Q1!K426</f>
        <v>0</v>
      </c>
      <c r="V57" s="695">
        <f>M57</f>
        <v>0</v>
      </c>
      <c r="W57" s="670">
        <f>重み!D57</f>
        <v>0</v>
      </c>
      <c r="X57" s="695">
        <f>O57</f>
        <v>0</v>
      </c>
      <c r="Y57" s="670">
        <f>重み!E57</f>
        <v>0</v>
      </c>
      <c r="Z57" s="641"/>
      <c r="AA57" s="586"/>
      <c r="AB57" s="617">
        <f>重み!M57</f>
        <v>0.25</v>
      </c>
      <c r="AC57" s="601"/>
      <c r="AD57" s="617">
        <f>重み!N57</f>
        <v>0</v>
      </c>
    </row>
    <row r="58" spans="2:58" ht="14.25" thickBot="1">
      <c r="B58" s="752"/>
      <c r="C58" s="674">
        <v>4.3</v>
      </c>
      <c r="D58" s="722" t="s">
        <v>2584</v>
      </c>
      <c r="E58" s="723"/>
      <c r="F58" s="724"/>
      <c r="G58" s="678">
        <v>5</v>
      </c>
      <c r="H58" s="662"/>
      <c r="I58" s="663"/>
      <c r="J58" s="663"/>
      <c r="K58" s="663"/>
      <c r="L58" s="664"/>
      <c r="M58" s="753">
        <f>ROUNDDOWN(V58,1)</f>
        <v>3</v>
      </c>
      <c r="N58" s="666">
        <f t="shared" si="14"/>
        <v>0.2</v>
      </c>
      <c r="O58" s="754">
        <f t="shared" ref="O58:O63" si="17">ROUNDDOWN(X58,1)</f>
        <v>0</v>
      </c>
      <c r="P58" s="667">
        <f t="shared" si="15"/>
        <v>0</v>
      </c>
      <c r="Q58" s="668"/>
      <c r="R58" s="586"/>
      <c r="S58" s="705"/>
      <c r="T58" s="721"/>
      <c r="V58" s="669">
        <f>SUMPRODUCT(V59:V60,W59:W60)</f>
        <v>3</v>
      </c>
      <c r="W58" s="670">
        <f>重み!D58</f>
        <v>0.2</v>
      </c>
      <c r="X58" s="669">
        <f>SUMPRODUCT(X59:X60,Y59:Y60)</f>
        <v>0</v>
      </c>
      <c r="Y58" s="670">
        <f>重み!E58</f>
        <v>0</v>
      </c>
      <c r="Z58" s="641"/>
      <c r="AA58" s="586"/>
      <c r="AB58" s="617">
        <f>重み!M58</f>
        <v>0.2</v>
      </c>
      <c r="AC58" s="601"/>
      <c r="AD58" s="617">
        <f>重み!N58</f>
        <v>0</v>
      </c>
    </row>
    <row r="59" spans="2:58">
      <c r="B59" s="752"/>
      <c r="C59" s="686"/>
      <c r="D59" s="687">
        <v>1</v>
      </c>
      <c r="E59" s="676" t="s">
        <v>2585</v>
      </c>
      <c r="F59" s="729"/>
      <c r="G59" s="678"/>
      <c r="H59" s="2844"/>
      <c r="I59" s="2845"/>
      <c r="J59" s="2845"/>
      <c r="K59" s="2845"/>
      <c r="L59" s="2846"/>
      <c r="M59" s="691">
        <f>ROUNDDOWN(S59,1)</f>
        <v>3</v>
      </c>
      <c r="N59" s="692">
        <f t="shared" si="14"/>
        <v>0.5</v>
      </c>
      <c r="O59" s="767">
        <f t="shared" si="17"/>
        <v>0</v>
      </c>
      <c r="P59" s="692">
        <f t="shared" si="15"/>
        <v>0</v>
      </c>
      <c r="Q59" s="668"/>
      <c r="R59" s="586"/>
      <c r="S59" s="768">
        <f>IF(採点Q1!F436="対象外",0,採点Q1!F436)</f>
        <v>3</v>
      </c>
      <c r="T59" s="769"/>
      <c r="V59" s="695">
        <f>M59</f>
        <v>3</v>
      </c>
      <c r="W59" s="670">
        <f>重み!D59</f>
        <v>0.5</v>
      </c>
      <c r="X59" s="742"/>
      <c r="Y59" s="670">
        <f>重み!E59</f>
        <v>0</v>
      </c>
      <c r="Z59" s="641"/>
      <c r="AA59" s="586"/>
      <c r="AB59" s="617">
        <f>重み!M59</f>
        <v>0.5</v>
      </c>
      <c r="AC59" s="601"/>
      <c r="AD59" s="617">
        <f>重み!N59</f>
        <v>0</v>
      </c>
    </row>
    <row r="60" spans="2:58" ht="14.25" thickBot="1">
      <c r="B60" s="752"/>
      <c r="C60" s="686"/>
      <c r="D60" s="828">
        <v>2</v>
      </c>
      <c r="E60" s="675" t="s">
        <v>2586</v>
      </c>
      <c r="F60" s="724"/>
      <c r="G60" s="678"/>
      <c r="H60" s="2844"/>
      <c r="I60" s="2845"/>
      <c r="J60" s="2845"/>
      <c r="K60" s="2845"/>
      <c r="L60" s="2846"/>
      <c r="M60" s="706">
        <f>ROUNDDOWN(S60,1)</f>
        <v>3</v>
      </c>
      <c r="N60" s="692">
        <f t="shared" si="14"/>
        <v>0.5</v>
      </c>
      <c r="O60" s="767">
        <f t="shared" si="17"/>
        <v>0</v>
      </c>
      <c r="P60" s="692">
        <f t="shared" si="15"/>
        <v>0</v>
      </c>
      <c r="Q60" s="668"/>
      <c r="R60" s="586"/>
      <c r="S60" s="802">
        <f>IF(採点Q1!K436="対象外",0,採点Q1!K436)</f>
        <v>3</v>
      </c>
      <c r="T60" s="769"/>
      <c r="V60" s="2645">
        <f>M60</f>
        <v>3</v>
      </c>
      <c r="W60" s="2646">
        <f>重み!D60</f>
        <v>0.5</v>
      </c>
      <c r="X60" s="2647"/>
      <c r="Y60" s="2646">
        <f>重み!E60</f>
        <v>0</v>
      </c>
      <c r="Z60" s="2648"/>
      <c r="AA60" s="586"/>
      <c r="AB60" s="655">
        <f>重み!M60</f>
        <v>0.5</v>
      </c>
      <c r="AC60" s="601"/>
      <c r="AD60" s="655">
        <f>重み!N60</f>
        <v>0</v>
      </c>
    </row>
    <row r="61" spans="2:58" ht="15.75" thickBot="1">
      <c r="B61" s="777" t="s">
        <v>2080</v>
      </c>
      <c r="C61" s="778" t="s">
        <v>2081</v>
      </c>
      <c r="D61" s="779"/>
      <c r="E61" s="779"/>
      <c r="F61" s="780"/>
      <c r="G61" s="781"/>
      <c r="H61" s="782"/>
      <c r="I61" s="783"/>
      <c r="J61" s="783"/>
      <c r="K61" s="783"/>
      <c r="L61" s="784"/>
      <c r="M61" s="785">
        <f>ROUNDDOWN(V61,1)</f>
        <v>0</v>
      </c>
      <c r="N61" s="786">
        <f t="shared" si="14"/>
        <v>0.3</v>
      </c>
      <c r="O61" s="787">
        <f t="shared" si="17"/>
        <v>0</v>
      </c>
      <c r="P61" s="788">
        <f t="shared" si="15"/>
        <v>0</v>
      </c>
      <c r="Q61" s="789">
        <f>ROUNDDOWN(Z61,1)</f>
        <v>3</v>
      </c>
      <c r="R61" s="586"/>
      <c r="S61" s="721"/>
      <c r="T61" s="721"/>
      <c r="U61" s="2650"/>
      <c r="V61" s="2651"/>
      <c r="W61" s="2652">
        <f>重み!D61</f>
        <v>0.3</v>
      </c>
      <c r="X61" s="2651"/>
      <c r="Y61" s="2652"/>
      <c r="Z61" s="2653">
        <f>Z62*W62+Z75*W75+Z97*W97</f>
        <v>3.0000000000000004</v>
      </c>
      <c r="AA61" s="2649"/>
      <c r="AB61" s="2654">
        <f>重み!M61</f>
        <v>0.3</v>
      </c>
      <c r="AC61" s="2655"/>
      <c r="AD61" s="2654">
        <f>重み!N61</f>
        <v>0</v>
      </c>
      <c r="AE61" s="2650"/>
      <c r="AF61" s="2656"/>
      <c r="AG61" s="2656"/>
      <c r="AH61" s="2656"/>
      <c r="AI61" s="2656"/>
      <c r="AJ61" s="2656"/>
      <c r="AK61" s="2656"/>
      <c r="AL61" s="2656"/>
      <c r="AM61" s="2656"/>
      <c r="AN61" s="2656"/>
      <c r="AO61" s="2657"/>
      <c r="AP61" s="2658"/>
      <c r="AQ61" s="2659">
        <f>N61</f>
        <v>0.3</v>
      </c>
      <c r="AR61" s="789">
        <f t="shared" ref="AR61" si="18">ROUNDDOWN(AT61,1)</f>
        <v>3.8</v>
      </c>
      <c r="AS61" s="2614"/>
      <c r="AT61" s="2639">
        <f>SUMPRODUCT(AQ62:AQ108,AT62:AT108)</f>
        <v>3.8</v>
      </c>
      <c r="AV61" s="2638">
        <f>SUMPRODUCT($AW$7:$BF$7,AW61:BF61)</f>
        <v>0</v>
      </c>
      <c r="AW61" s="2624">
        <f t="shared" ref="AW61:BF62" si="19">IF(AF61&gt;0,1,0)</f>
        <v>0</v>
      </c>
      <c r="AX61" s="2624">
        <f t="shared" si="19"/>
        <v>0</v>
      </c>
      <c r="AY61" s="2624">
        <f t="shared" si="19"/>
        <v>0</v>
      </c>
      <c r="AZ61" s="2624">
        <f t="shared" si="19"/>
        <v>0</v>
      </c>
      <c r="BA61" s="2624">
        <f t="shared" si="19"/>
        <v>0</v>
      </c>
      <c r="BB61" s="2624">
        <f t="shared" si="19"/>
        <v>0</v>
      </c>
      <c r="BC61" s="2624">
        <f t="shared" si="19"/>
        <v>0</v>
      </c>
      <c r="BD61" s="2624">
        <f t="shared" si="19"/>
        <v>0</v>
      </c>
      <c r="BE61" s="2624">
        <f t="shared" si="19"/>
        <v>0</v>
      </c>
      <c r="BF61" s="2624">
        <f t="shared" si="19"/>
        <v>0</v>
      </c>
    </row>
    <row r="62" spans="2:58">
      <c r="B62" s="656">
        <v>1</v>
      </c>
      <c r="C62" s="790" t="s">
        <v>2587</v>
      </c>
      <c r="D62" s="791"/>
      <c r="E62" s="713"/>
      <c r="F62" s="660"/>
      <c r="G62" s="661"/>
      <c r="H62" s="792"/>
      <c r="I62" s="793"/>
      <c r="J62" s="793"/>
      <c r="K62" s="793"/>
      <c r="L62" s="794"/>
      <c r="M62" s="717">
        <f>ROUNDDOWN(V62,1)</f>
        <v>3</v>
      </c>
      <c r="N62" s="795">
        <f t="shared" si="14"/>
        <v>0.4</v>
      </c>
      <c r="O62" s="665">
        <f t="shared" si="17"/>
        <v>0</v>
      </c>
      <c r="P62" s="796">
        <f t="shared" si="15"/>
        <v>0</v>
      </c>
      <c r="Q62" s="797">
        <f>ROUNDDOWN(Z62,1)</f>
        <v>3</v>
      </c>
      <c r="R62" s="586"/>
      <c r="S62" s="585"/>
      <c r="T62" s="585"/>
      <c r="V62" s="669">
        <f>V63*W63+V67*W67+V71*W71</f>
        <v>3</v>
      </c>
      <c r="W62" s="670">
        <f>重み!D62</f>
        <v>0.4</v>
      </c>
      <c r="X62" s="669">
        <f>X63*Y63+X67*Y67+X71*Y71</f>
        <v>0</v>
      </c>
      <c r="Y62" s="671">
        <f>SUM(Y63,Y67,Y71)</f>
        <v>0</v>
      </c>
      <c r="Z62" s="641">
        <f>IF(X62=0,V62,IF(V62=0,X62,V62*AB$6+X62*AD$6))</f>
        <v>3</v>
      </c>
      <c r="AA62" s="586"/>
      <c r="AB62" s="617">
        <f>重み!M62</f>
        <v>0.4</v>
      </c>
      <c r="AC62" s="601"/>
      <c r="AD62" s="672">
        <f>SUM(AD63,AD67)</f>
        <v>0</v>
      </c>
      <c r="AF62" s="2643">
        <v>5</v>
      </c>
      <c r="AG62" s="2643"/>
      <c r="AH62" s="2643"/>
      <c r="AI62" s="2643"/>
      <c r="AJ62" s="2643"/>
      <c r="AK62" s="2643">
        <v>0</v>
      </c>
      <c r="AL62" s="2643"/>
      <c r="AM62" s="2643"/>
      <c r="AN62" s="2643"/>
      <c r="AO62" s="2643"/>
      <c r="AP62" s="2640">
        <f t="shared" ref="AP62:AP97" si="20">ROUNDDOWN(AT62,1)</f>
        <v>5</v>
      </c>
      <c r="AQ62" s="921">
        <f>N62</f>
        <v>0.4</v>
      </c>
      <c r="AR62" s="720"/>
      <c r="AS62" s="2614"/>
      <c r="AT62" s="2639">
        <f>IF(AV62=0,0,SUMPRODUCT($AW$7:$BF$7,AF62:AO62)/AV62)</f>
        <v>5</v>
      </c>
      <c r="AV62" s="2638">
        <f>SUMPRODUCT($AW$7:$BF$7,AW62:BF62)</f>
        <v>1</v>
      </c>
      <c r="AW62" s="2624">
        <f t="shared" si="19"/>
        <v>1</v>
      </c>
      <c r="AX62" s="2624">
        <f t="shared" si="19"/>
        <v>0</v>
      </c>
      <c r="AY62" s="2624">
        <f t="shared" si="19"/>
        <v>0</v>
      </c>
      <c r="AZ62" s="2624">
        <f t="shared" si="19"/>
        <v>0</v>
      </c>
      <c r="BA62" s="2624">
        <f t="shared" si="19"/>
        <v>0</v>
      </c>
      <c r="BB62" s="2624">
        <f t="shared" si="19"/>
        <v>0</v>
      </c>
      <c r="BC62" s="2624">
        <f t="shared" si="19"/>
        <v>0</v>
      </c>
      <c r="BD62" s="2624">
        <f t="shared" si="19"/>
        <v>0</v>
      </c>
      <c r="BE62" s="2624">
        <f t="shared" si="19"/>
        <v>0</v>
      </c>
      <c r="BF62" s="2624">
        <f t="shared" si="19"/>
        <v>0</v>
      </c>
    </row>
    <row r="63" spans="2:58" ht="14.25" thickBot="1">
      <c r="B63" s="752"/>
      <c r="C63" s="702">
        <v>1.1000000000000001</v>
      </c>
      <c r="D63" s="675" t="s">
        <v>2588</v>
      </c>
      <c r="E63" s="723"/>
      <c r="F63" s="724"/>
      <c r="G63" s="678">
        <v>5</v>
      </c>
      <c r="H63" s="662"/>
      <c r="I63" s="663"/>
      <c r="J63" s="663"/>
      <c r="K63" s="663"/>
      <c r="L63" s="664"/>
      <c r="M63" s="753">
        <f>ROUNDDOWN(V63,1)</f>
        <v>3</v>
      </c>
      <c r="N63" s="666">
        <f t="shared" si="14"/>
        <v>0.4</v>
      </c>
      <c r="O63" s="754">
        <f t="shared" si="17"/>
        <v>0</v>
      </c>
      <c r="P63" s="667">
        <f t="shared" si="15"/>
        <v>0</v>
      </c>
      <c r="Q63" s="668"/>
      <c r="R63" s="586"/>
      <c r="S63" s="685"/>
      <c r="T63" s="685"/>
      <c r="V63" s="669">
        <f>SUMPRODUCT(V64:V66,W64:W66)</f>
        <v>3</v>
      </c>
      <c r="W63" s="670">
        <f>重み!D63</f>
        <v>0.4</v>
      </c>
      <c r="X63" s="669">
        <f>SUMPRODUCT(X64:X66,Y64:Y66)</f>
        <v>0</v>
      </c>
      <c r="Y63" s="670">
        <f>重み!E63</f>
        <v>0</v>
      </c>
      <c r="Z63" s="641"/>
      <c r="AA63" s="586"/>
      <c r="AB63" s="617">
        <f>重み!M63</f>
        <v>0.4</v>
      </c>
      <c r="AC63" s="601"/>
      <c r="AD63" s="617">
        <f>重み!N63</f>
        <v>0</v>
      </c>
      <c r="AP63" s="2672">
        <f t="shared" si="20"/>
        <v>0</v>
      </c>
    </row>
    <row r="64" spans="2:58">
      <c r="B64" s="752"/>
      <c r="C64" s="686"/>
      <c r="D64" s="687">
        <v>1</v>
      </c>
      <c r="E64" s="676" t="s">
        <v>2354</v>
      </c>
      <c r="F64" s="729"/>
      <c r="G64" s="678"/>
      <c r="H64" s="2844"/>
      <c r="I64" s="2845"/>
      <c r="J64" s="2845"/>
      <c r="K64" s="2845"/>
      <c r="L64" s="2846"/>
      <c r="M64" s="691">
        <f>ROUNDDOWN(S64,1)</f>
        <v>3</v>
      </c>
      <c r="N64" s="692">
        <f t="shared" si="14"/>
        <v>0.33333333333333331</v>
      </c>
      <c r="O64" s="691">
        <f>ROUNDDOWN(T64,1)</f>
        <v>3</v>
      </c>
      <c r="P64" s="692">
        <f t="shared" si="15"/>
        <v>0</v>
      </c>
      <c r="Q64" s="668"/>
      <c r="R64" s="586"/>
      <c r="S64" s="693">
        <f>IF(採点Q2!F9="対象外",0,採点Q2!F9)</f>
        <v>3</v>
      </c>
      <c r="T64" s="694">
        <f>採点Q2!K9</f>
        <v>3</v>
      </c>
      <c r="V64" s="695">
        <f>M64</f>
        <v>3</v>
      </c>
      <c r="W64" s="670">
        <f>重み!D64</f>
        <v>0.33333333333333331</v>
      </c>
      <c r="X64" s="695">
        <f>O64</f>
        <v>3</v>
      </c>
      <c r="Y64" s="670">
        <f>重み!E64</f>
        <v>0</v>
      </c>
      <c r="Z64" s="641"/>
      <c r="AA64" s="586"/>
      <c r="AB64" s="617">
        <f>重み!M64</f>
        <v>0.33333333333333331</v>
      </c>
      <c r="AC64" s="601"/>
      <c r="AD64" s="617">
        <f>重み!N64</f>
        <v>0</v>
      </c>
      <c r="AP64" s="2672">
        <f t="shared" si="20"/>
        <v>0</v>
      </c>
    </row>
    <row r="65" spans="2:58">
      <c r="B65" s="752"/>
      <c r="C65" s="686"/>
      <c r="D65" s="687">
        <v>2</v>
      </c>
      <c r="E65" s="676" t="s">
        <v>2355</v>
      </c>
      <c r="F65" s="729"/>
      <c r="G65" s="678"/>
      <c r="H65" s="2844"/>
      <c r="I65" s="2845"/>
      <c r="J65" s="2845"/>
      <c r="K65" s="2845"/>
      <c r="L65" s="2846"/>
      <c r="M65" s="706">
        <f>ROUNDDOWN(S65,1)</f>
        <v>3</v>
      </c>
      <c r="N65" s="692">
        <f t="shared" si="14"/>
        <v>0.33333333333333331</v>
      </c>
      <c r="O65" s="706">
        <f>ROUNDDOWN(T65,1)</f>
        <v>3</v>
      </c>
      <c r="P65" s="692">
        <f t="shared" si="15"/>
        <v>0</v>
      </c>
      <c r="Q65" s="668"/>
      <c r="R65" s="586"/>
      <c r="S65" s="707">
        <f>IF(採点Q2!F18="対象外",0,採点Q2!F18)</f>
        <v>3</v>
      </c>
      <c r="T65" s="708">
        <f>採点Q2!K18</f>
        <v>3</v>
      </c>
      <c r="V65" s="695">
        <f>M65</f>
        <v>3</v>
      </c>
      <c r="W65" s="670">
        <f>重み!D65</f>
        <v>0.33333333333333331</v>
      </c>
      <c r="X65" s="695">
        <f>O65</f>
        <v>3</v>
      </c>
      <c r="Y65" s="670">
        <f>重み!E65</f>
        <v>0</v>
      </c>
      <c r="Z65" s="641"/>
      <c r="AA65" s="586"/>
      <c r="AB65" s="617">
        <f>重み!M65</f>
        <v>0.33333333333333331</v>
      </c>
      <c r="AC65" s="601"/>
      <c r="AD65" s="617">
        <f>重み!N65</f>
        <v>0</v>
      </c>
      <c r="AP65" s="2672">
        <f t="shared" si="20"/>
        <v>0</v>
      </c>
    </row>
    <row r="66" spans="2:58" ht="14.25" thickBot="1">
      <c r="B66" s="752"/>
      <c r="C66" s="696"/>
      <c r="D66" s="687">
        <v>3</v>
      </c>
      <c r="E66" s="676" t="s">
        <v>2356</v>
      </c>
      <c r="F66" s="729"/>
      <c r="G66" s="678"/>
      <c r="H66" s="2844"/>
      <c r="I66" s="2845"/>
      <c r="J66" s="2845"/>
      <c r="K66" s="2845"/>
      <c r="L66" s="2846"/>
      <c r="M66" s="699">
        <f>ROUNDDOWN(S66,1)</f>
        <v>3</v>
      </c>
      <c r="N66" s="692">
        <f t="shared" si="14"/>
        <v>0.33333333333333331</v>
      </c>
      <c r="O66" s="699">
        <f>ROUNDDOWN(T66,1)</f>
        <v>0</v>
      </c>
      <c r="P66" s="692">
        <f t="shared" si="15"/>
        <v>0</v>
      </c>
      <c r="Q66" s="668"/>
      <c r="R66" s="586"/>
      <c r="S66" s="700">
        <f>IF(採点Q2!F27="対象外",0,採点Q2!F27)</f>
        <v>3</v>
      </c>
      <c r="T66" s="798"/>
      <c r="V66" s="695">
        <f>M66</f>
        <v>3</v>
      </c>
      <c r="W66" s="670">
        <f>重み!D66</f>
        <v>0.33333333333333331</v>
      </c>
      <c r="X66" s="730"/>
      <c r="Y66" s="670">
        <f>重み!E66</f>
        <v>0</v>
      </c>
      <c r="Z66" s="641"/>
      <c r="AA66" s="586"/>
      <c r="AB66" s="617">
        <f>重み!M66</f>
        <v>0.33333333333333331</v>
      </c>
      <c r="AC66" s="601"/>
      <c r="AD66" s="617">
        <f>重み!N66</f>
        <v>0</v>
      </c>
      <c r="AP66" s="2672">
        <f t="shared" si="20"/>
        <v>0</v>
      </c>
    </row>
    <row r="67" spans="2:58" ht="14.25" thickBot="1">
      <c r="B67" s="752"/>
      <c r="C67" s="674">
        <v>1.2</v>
      </c>
      <c r="D67" s="675" t="s">
        <v>2893</v>
      </c>
      <c r="E67" s="723"/>
      <c r="F67" s="724"/>
      <c r="G67" s="678">
        <v>5</v>
      </c>
      <c r="H67" s="662"/>
      <c r="I67" s="663"/>
      <c r="J67" s="663"/>
      <c r="K67" s="663"/>
      <c r="L67" s="664"/>
      <c r="M67" s="753">
        <f>ROUNDDOWN(V67,1)</f>
        <v>3</v>
      </c>
      <c r="N67" s="666">
        <f t="shared" si="14"/>
        <v>0.3</v>
      </c>
      <c r="O67" s="754">
        <f>ROUNDDOWN(X67,1)</f>
        <v>0</v>
      </c>
      <c r="P67" s="667">
        <f t="shared" si="15"/>
        <v>0</v>
      </c>
      <c r="Q67" s="668"/>
      <c r="R67" s="586"/>
      <c r="S67" s="705"/>
      <c r="T67" s="705"/>
      <c r="V67" s="669">
        <f>SUMPRODUCT(V68:V70,W68:W70)</f>
        <v>3</v>
      </c>
      <c r="W67" s="670">
        <f>重み!D67</f>
        <v>0.3</v>
      </c>
      <c r="X67" s="669">
        <f>SUMPRODUCT(X68:X70,Y68:Y70)</f>
        <v>0</v>
      </c>
      <c r="Y67" s="670">
        <f>重み!E67</f>
        <v>0</v>
      </c>
      <c r="Z67" s="641"/>
      <c r="AA67" s="586"/>
      <c r="AB67" s="617">
        <f>重み!M67</f>
        <v>0.3</v>
      </c>
      <c r="AC67" s="601"/>
      <c r="AD67" s="617">
        <f>重み!N67</f>
        <v>0</v>
      </c>
      <c r="AP67" s="2672">
        <f t="shared" si="20"/>
        <v>0</v>
      </c>
    </row>
    <row r="68" spans="2:58">
      <c r="B68" s="752"/>
      <c r="C68" s="686"/>
      <c r="D68" s="687">
        <v>1</v>
      </c>
      <c r="E68" s="676" t="s">
        <v>928</v>
      </c>
      <c r="F68" s="729"/>
      <c r="G68" s="678"/>
      <c r="H68" s="2844"/>
      <c r="I68" s="2845"/>
      <c r="J68" s="2845"/>
      <c r="K68" s="2845"/>
      <c r="L68" s="2846"/>
      <c r="M68" s="691">
        <f>ROUNDDOWN(S68,1)</f>
        <v>3</v>
      </c>
      <c r="N68" s="692">
        <f t="shared" si="14"/>
        <v>0.33333333333333331</v>
      </c>
      <c r="O68" s="691">
        <f>ROUNDDOWN(T68,1)</f>
        <v>3</v>
      </c>
      <c r="P68" s="692">
        <f t="shared" si="15"/>
        <v>0</v>
      </c>
      <c r="Q68" s="668"/>
      <c r="R68" s="586"/>
      <c r="S68" s="693">
        <f>IF(採点Q2!F37="対象外",0,採点Q2!F37)</f>
        <v>3</v>
      </c>
      <c r="T68" s="694">
        <f>採点Q2!M37</f>
        <v>3</v>
      </c>
      <c r="V68" s="695">
        <f>M68</f>
        <v>3</v>
      </c>
      <c r="W68" s="670">
        <f>重み!D68</f>
        <v>0.33333333333333331</v>
      </c>
      <c r="X68" s="695">
        <f>O68</f>
        <v>3</v>
      </c>
      <c r="Y68" s="670">
        <f>重み!E68</f>
        <v>0</v>
      </c>
      <c r="Z68" s="641"/>
      <c r="AA68" s="586"/>
      <c r="AB68" s="617">
        <f>重み!M68</f>
        <v>0.33333333333333331</v>
      </c>
      <c r="AC68" s="601"/>
      <c r="AD68" s="617">
        <f>重み!N68</f>
        <v>0</v>
      </c>
      <c r="AP68" s="2672">
        <f t="shared" si="20"/>
        <v>0</v>
      </c>
    </row>
    <row r="69" spans="2:58">
      <c r="B69" s="752"/>
      <c r="C69" s="686"/>
      <c r="D69" s="687">
        <v>2</v>
      </c>
      <c r="E69" s="676" t="s">
        <v>2082</v>
      </c>
      <c r="F69" s="729"/>
      <c r="G69" s="678"/>
      <c r="H69" s="2844"/>
      <c r="I69" s="2845"/>
      <c r="J69" s="2845"/>
      <c r="K69" s="2845"/>
      <c r="L69" s="2846"/>
      <c r="M69" s="706">
        <f>ROUNDDOWN(S69,1)</f>
        <v>3</v>
      </c>
      <c r="N69" s="692">
        <f t="shared" si="14"/>
        <v>0.33333333333333331</v>
      </c>
      <c r="O69" s="706">
        <f>ROUNDDOWN(T69,1)</f>
        <v>0</v>
      </c>
      <c r="P69" s="692">
        <f t="shared" si="15"/>
        <v>0</v>
      </c>
      <c r="Q69" s="668"/>
      <c r="R69" s="586"/>
      <c r="S69" s="707">
        <f>IF(採点Q2!F46="対象外",0,採点Q2!F46)</f>
        <v>3</v>
      </c>
      <c r="T69" s="799"/>
      <c r="V69" s="695">
        <f>M69</f>
        <v>3</v>
      </c>
      <c r="W69" s="670">
        <f>重み!D69</f>
        <v>0.33333333333333331</v>
      </c>
      <c r="X69" s="730"/>
      <c r="Y69" s="670">
        <f>重み!E69</f>
        <v>0</v>
      </c>
      <c r="Z69" s="641"/>
      <c r="AA69" s="586"/>
      <c r="AB69" s="617">
        <f>重み!M69</f>
        <v>0.33333333333333331</v>
      </c>
      <c r="AC69" s="601"/>
      <c r="AD69" s="617">
        <f>重み!N69</f>
        <v>0</v>
      </c>
      <c r="AP69" s="2672">
        <f t="shared" si="20"/>
        <v>0</v>
      </c>
    </row>
    <row r="70" spans="2:58" ht="14.25" thickBot="1">
      <c r="B70" s="752"/>
      <c r="C70" s="696"/>
      <c r="D70" s="687">
        <v>3</v>
      </c>
      <c r="E70" s="676" t="s">
        <v>0</v>
      </c>
      <c r="F70" s="729"/>
      <c r="G70" s="678"/>
      <c r="H70" s="2844"/>
      <c r="I70" s="2845"/>
      <c r="J70" s="2845"/>
      <c r="K70" s="2845"/>
      <c r="L70" s="2846"/>
      <c r="M70" s="699">
        <f>ROUNDDOWN(S70,1)</f>
        <v>3</v>
      </c>
      <c r="N70" s="692">
        <f t="shared" si="14"/>
        <v>0.33333333333333331</v>
      </c>
      <c r="O70" s="699">
        <f>ROUNDDOWN(T70,1)</f>
        <v>0</v>
      </c>
      <c r="P70" s="692">
        <f t="shared" si="15"/>
        <v>0</v>
      </c>
      <c r="Q70" s="668"/>
      <c r="R70" s="586"/>
      <c r="S70" s="700">
        <f>IF(採点Q2!F55="対象外",0,採点Q2!F55)</f>
        <v>3</v>
      </c>
      <c r="T70" s="701">
        <f>採点Q2!K55</f>
        <v>0</v>
      </c>
      <c r="V70" s="695">
        <f>M70</f>
        <v>3</v>
      </c>
      <c r="W70" s="670">
        <f>重み!D70</f>
        <v>0.33333333333333331</v>
      </c>
      <c r="X70" s="695">
        <f>O70</f>
        <v>0</v>
      </c>
      <c r="Y70" s="670">
        <f>重み!E70</f>
        <v>0</v>
      </c>
      <c r="Z70" s="641"/>
      <c r="AA70" s="586"/>
      <c r="AB70" s="617">
        <f>重み!M70</f>
        <v>0.33333333333333331</v>
      </c>
      <c r="AC70" s="601"/>
      <c r="AD70" s="617">
        <f>重み!N70</f>
        <v>0</v>
      </c>
      <c r="AP70" s="2672">
        <f t="shared" si="20"/>
        <v>0</v>
      </c>
    </row>
    <row r="71" spans="2:58" ht="14.25" thickBot="1">
      <c r="B71" s="800"/>
      <c r="C71" s="702">
        <v>1.3</v>
      </c>
      <c r="D71" s="675" t="s">
        <v>1</v>
      </c>
      <c r="E71" s="723"/>
      <c r="F71" s="724"/>
      <c r="G71" s="801"/>
      <c r="H71" s="662"/>
      <c r="I71" s="663"/>
      <c r="J71" s="663"/>
      <c r="K71" s="663"/>
      <c r="L71" s="664"/>
      <c r="M71" s="753">
        <f>ROUNDDOWN(V71,1)</f>
        <v>3</v>
      </c>
      <c r="N71" s="692">
        <f t="shared" si="14"/>
        <v>0.3</v>
      </c>
      <c r="O71" s="754">
        <f>ROUNDDOWN(X71,1)</f>
        <v>0</v>
      </c>
      <c r="P71" s="692">
        <f t="shared" si="15"/>
        <v>0</v>
      </c>
      <c r="Q71" s="668"/>
      <c r="R71" s="586"/>
      <c r="S71" s="721"/>
      <c r="T71" s="721"/>
      <c r="V71" s="669">
        <f>SUMPRODUCT(V72:V74,W72:W74)</f>
        <v>3</v>
      </c>
      <c r="W71" s="670">
        <f>重み!D71</f>
        <v>0.3</v>
      </c>
      <c r="X71" s="669">
        <f>SUMPRODUCT(X72:X74,Y72:Y74)</f>
        <v>0</v>
      </c>
      <c r="Y71" s="670">
        <f>重み!E71</f>
        <v>0</v>
      </c>
      <c r="Z71" s="641"/>
      <c r="AA71" s="586"/>
      <c r="AB71" s="617">
        <f>重み!M71</f>
        <v>0.3</v>
      </c>
      <c r="AC71" s="601"/>
      <c r="AD71" s="617">
        <f>重み!N71</f>
        <v>0</v>
      </c>
      <c r="AP71" s="2672">
        <f t="shared" si="20"/>
        <v>0</v>
      </c>
    </row>
    <row r="72" spans="2:58">
      <c r="B72" s="800"/>
      <c r="C72" s="686"/>
      <c r="D72" s="687">
        <v>1</v>
      </c>
      <c r="E72" s="676" t="s">
        <v>2</v>
      </c>
      <c r="F72" s="729"/>
      <c r="G72" s="801"/>
      <c r="H72" s="2844"/>
      <c r="I72" s="2845"/>
      <c r="J72" s="2845"/>
      <c r="K72" s="2845"/>
      <c r="L72" s="2846"/>
      <c r="M72" s="691">
        <f>ROUNDDOWN(S72,1)</f>
        <v>3</v>
      </c>
      <c r="N72" s="692">
        <f t="shared" si="14"/>
        <v>0.5</v>
      </c>
      <c r="O72" s="691">
        <f>ROUNDDOWN(T72,1)</f>
        <v>0</v>
      </c>
      <c r="P72" s="692">
        <f t="shared" si="15"/>
        <v>0</v>
      </c>
      <c r="Q72" s="668"/>
      <c r="R72" s="586"/>
      <c r="S72" s="768">
        <f>IF(採点Q2!F72="対象外",0,採点Q2!F72)</f>
        <v>3</v>
      </c>
      <c r="T72" s="585"/>
      <c r="V72" s="695">
        <f>M72</f>
        <v>3</v>
      </c>
      <c r="W72" s="670">
        <f>重み!D72</f>
        <v>0.5</v>
      </c>
      <c r="X72" s="730"/>
      <c r="Y72" s="670">
        <f>重み!E72</f>
        <v>0</v>
      </c>
      <c r="Z72" s="641"/>
      <c r="AA72" s="586"/>
      <c r="AB72" s="617">
        <f>重み!M72</f>
        <v>0.5</v>
      </c>
      <c r="AC72" s="601"/>
      <c r="AD72" s="617">
        <f>重み!N72</f>
        <v>0</v>
      </c>
      <c r="AP72" s="2672">
        <f t="shared" si="20"/>
        <v>0</v>
      </c>
    </row>
    <row r="73" spans="2:58">
      <c r="B73" s="752"/>
      <c r="C73" s="686"/>
      <c r="D73" s="687">
        <v>2</v>
      </c>
      <c r="E73" s="676" t="s">
        <v>3</v>
      </c>
      <c r="F73" s="729"/>
      <c r="G73" s="801"/>
      <c r="H73" s="2844"/>
      <c r="I73" s="2845"/>
      <c r="J73" s="2845"/>
      <c r="K73" s="2845"/>
      <c r="L73" s="2846"/>
      <c r="M73" s="706">
        <f>ROUNDDOWN(S73,1)</f>
        <v>3</v>
      </c>
      <c r="N73" s="692">
        <f t="shared" si="14"/>
        <v>0.5</v>
      </c>
      <c r="O73" s="706">
        <f>ROUNDDOWN(T73,1)</f>
        <v>0</v>
      </c>
      <c r="P73" s="692">
        <f t="shared" si="15"/>
        <v>0</v>
      </c>
      <c r="Q73" s="668"/>
      <c r="R73" s="586"/>
      <c r="S73" s="802">
        <f>IF(採点Q2!F116="対象外",0,採点Q2!F116)</f>
        <v>3</v>
      </c>
      <c r="T73" s="585"/>
      <c r="V73" s="695">
        <f>M73</f>
        <v>3</v>
      </c>
      <c r="W73" s="670">
        <f>重み!D73</f>
        <v>0.5</v>
      </c>
      <c r="X73" s="730"/>
      <c r="Y73" s="670">
        <f>重み!E73</f>
        <v>0</v>
      </c>
      <c r="Z73" s="641"/>
      <c r="AA73" s="586"/>
      <c r="AB73" s="617">
        <f>重み!M73</f>
        <v>0.5</v>
      </c>
      <c r="AC73" s="601"/>
      <c r="AD73" s="617">
        <f>重み!N73</f>
        <v>0</v>
      </c>
      <c r="AP73" s="2672">
        <f t="shared" si="20"/>
        <v>0</v>
      </c>
    </row>
    <row r="74" spans="2:58" ht="14.25" thickBot="1">
      <c r="B74" s="752"/>
      <c r="C74" s="696"/>
      <c r="D74" s="755">
        <v>3</v>
      </c>
      <c r="E74" s="756" t="s">
        <v>4</v>
      </c>
      <c r="F74" s="757"/>
      <c r="G74" s="801"/>
      <c r="H74" s="2844"/>
      <c r="I74" s="2845"/>
      <c r="J74" s="2845"/>
      <c r="K74" s="2845"/>
      <c r="L74" s="2846"/>
      <c r="M74" s="699">
        <f>ROUNDDOWN(S74,1)</f>
        <v>0</v>
      </c>
      <c r="N74" s="692">
        <f t="shared" si="14"/>
        <v>0</v>
      </c>
      <c r="O74" s="699">
        <f>ROUNDDOWN(T74,1)</f>
        <v>0</v>
      </c>
      <c r="P74" s="692">
        <f t="shared" si="15"/>
        <v>0</v>
      </c>
      <c r="Q74" s="668"/>
      <c r="R74" s="586"/>
      <c r="S74" s="776">
        <f>採点Q2!F169</f>
        <v>0</v>
      </c>
      <c r="T74" s="585"/>
      <c r="V74" s="695">
        <f>M74</f>
        <v>0</v>
      </c>
      <c r="W74" s="670">
        <f>重み!D74</f>
        <v>0</v>
      </c>
      <c r="X74" s="730"/>
      <c r="Y74" s="670">
        <f>重み!E74</f>
        <v>0</v>
      </c>
      <c r="Z74" s="641"/>
      <c r="AA74" s="586"/>
      <c r="AB74" s="617">
        <f>重み!M74</f>
        <v>0</v>
      </c>
      <c r="AC74" s="601"/>
      <c r="AD74" s="617">
        <f>重み!N74</f>
        <v>0</v>
      </c>
      <c r="AP74" s="2672">
        <f t="shared" si="20"/>
        <v>0</v>
      </c>
    </row>
    <row r="75" spans="2:58">
      <c r="B75" s="803">
        <v>2</v>
      </c>
      <c r="C75" s="712" t="s">
        <v>5</v>
      </c>
      <c r="D75" s="825"/>
      <c r="E75" s="825"/>
      <c r="F75" s="724"/>
      <c r="G75" s="678"/>
      <c r="H75" s="714"/>
      <c r="I75" s="715"/>
      <c r="J75" s="715"/>
      <c r="K75" s="715"/>
      <c r="L75" s="716"/>
      <c r="M75" s="717">
        <f>ROUNDDOWN(V75,1)</f>
        <v>3</v>
      </c>
      <c r="N75" s="718">
        <f t="shared" ref="N75:N106" si="21">W75</f>
        <v>0.3</v>
      </c>
      <c r="O75" s="665">
        <f>ROUNDDOWN(X75,1)</f>
        <v>0</v>
      </c>
      <c r="P75" s="719">
        <f t="shared" ref="P75:P106" si="22">Y75</f>
        <v>0</v>
      </c>
      <c r="Q75" s="720">
        <f>ROUNDDOWN(Z75,1)</f>
        <v>3</v>
      </c>
      <c r="R75" s="586"/>
      <c r="S75" s="721"/>
      <c r="T75" s="585"/>
      <c r="V75" s="669">
        <f>V76*W76+V79*W79+V86*W86+V90*W90</f>
        <v>3.0000000000000004</v>
      </c>
      <c r="W75" s="670">
        <f>重み!D75</f>
        <v>0.3</v>
      </c>
      <c r="X75" s="669">
        <f>X76*Y76+X79*Y79+X90*Y90</f>
        <v>0</v>
      </c>
      <c r="Y75" s="671">
        <f>SUM(Y76,Y79,Y90)</f>
        <v>0</v>
      </c>
      <c r="Z75" s="641">
        <f>IF(X75=0,V75,IF(V75=0,X75,V75*AB$6+X75*AD$6))</f>
        <v>3.0000000000000004</v>
      </c>
      <c r="AA75" s="586"/>
      <c r="AB75" s="617">
        <f>重み!M75</f>
        <v>0.3</v>
      </c>
      <c r="AC75" s="601"/>
      <c r="AD75" s="672">
        <f>SUM(AD76,AD79,AD90)</f>
        <v>0</v>
      </c>
      <c r="AF75" s="2643">
        <v>3</v>
      </c>
      <c r="AG75" s="2643"/>
      <c r="AH75" s="2643"/>
      <c r="AI75" s="2643"/>
      <c r="AJ75" s="2643"/>
      <c r="AK75" s="2643">
        <v>4</v>
      </c>
      <c r="AL75" s="2643"/>
      <c r="AM75" s="2643"/>
      <c r="AN75" s="2643"/>
      <c r="AO75" s="2643"/>
      <c r="AP75" s="2640">
        <f t="shared" si="20"/>
        <v>3</v>
      </c>
      <c r="AQ75" s="921">
        <f>N75</f>
        <v>0.3</v>
      </c>
      <c r="AR75" s="720"/>
      <c r="AS75" s="2614"/>
      <c r="AT75" s="2639">
        <f>SUMPRODUCT($AW$7:$BF$7,AF75:AO75)/AV75</f>
        <v>3</v>
      </c>
      <c r="AV75" s="2638">
        <f>SUMPRODUCT($AW$7:$BF$7,AW75:BF75)</f>
        <v>1</v>
      </c>
      <c r="AW75" s="2624">
        <f>IF(AF75&gt;0,1,0)</f>
        <v>1</v>
      </c>
      <c r="AX75" s="2624">
        <f t="shared" ref="AX75:BF75" si="23">IF(AG75&gt;0,1,0)</f>
        <v>0</v>
      </c>
      <c r="AY75" s="2624">
        <f t="shared" si="23"/>
        <v>0</v>
      </c>
      <c r="AZ75" s="2624">
        <f t="shared" si="23"/>
        <v>0</v>
      </c>
      <c r="BA75" s="2624">
        <f t="shared" si="23"/>
        <v>0</v>
      </c>
      <c r="BB75" s="2624">
        <f t="shared" si="23"/>
        <v>1</v>
      </c>
      <c r="BC75" s="2624">
        <f t="shared" si="23"/>
        <v>0</v>
      </c>
      <c r="BD75" s="2624">
        <f t="shared" si="23"/>
        <v>0</v>
      </c>
      <c r="BE75" s="2624">
        <f t="shared" si="23"/>
        <v>0</v>
      </c>
      <c r="BF75" s="2624">
        <f t="shared" si="23"/>
        <v>0</v>
      </c>
    </row>
    <row r="76" spans="2:58" ht="14.25" thickBot="1">
      <c r="B76" s="752"/>
      <c r="C76" s="674">
        <v>2.1</v>
      </c>
      <c r="D76" s="722" t="s">
        <v>2410</v>
      </c>
      <c r="E76" s="723"/>
      <c r="F76" s="724"/>
      <c r="G76" s="678">
        <v>5</v>
      </c>
      <c r="H76" s="662"/>
      <c r="I76" s="663"/>
      <c r="J76" s="663"/>
      <c r="K76" s="663"/>
      <c r="L76" s="664"/>
      <c r="M76" s="753">
        <f>ROUNDDOWN(V76,1)</f>
        <v>3</v>
      </c>
      <c r="N76" s="666">
        <f t="shared" si="21"/>
        <v>0.5</v>
      </c>
      <c r="O76" s="804">
        <f>ROUNDDOWN(X76,1)</f>
        <v>0</v>
      </c>
      <c r="P76" s="667">
        <f t="shared" si="22"/>
        <v>0</v>
      </c>
      <c r="Q76" s="668"/>
      <c r="R76" s="586"/>
      <c r="S76" s="805"/>
      <c r="T76" s="585"/>
      <c r="V76" s="669">
        <f>SUMPRODUCT(V77:V78,W77:W78)</f>
        <v>3.0000000000000004</v>
      </c>
      <c r="W76" s="670">
        <f>重み!D76</f>
        <v>0.5</v>
      </c>
      <c r="X76" s="669">
        <f>SUMPRODUCT(X77:X78,Y77:Y78)</f>
        <v>0</v>
      </c>
      <c r="Y76" s="670">
        <f>重み!E76</f>
        <v>0</v>
      </c>
      <c r="Z76" s="641"/>
      <c r="AA76" s="586"/>
      <c r="AB76" s="617">
        <f>重み!M76</f>
        <v>0.5</v>
      </c>
      <c r="AC76" s="601"/>
      <c r="AD76" s="617">
        <f>重み!N76</f>
        <v>0</v>
      </c>
      <c r="AP76" s="2672">
        <f t="shared" si="20"/>
        <v>0</v>
      </c>
    </row>
    <row r="77" spans="2:58">
      <c r="B77" s="752"/>
      <c r="C77" s="728"/>
      <c r="D77" s="687">
        <v>1</v>
      </c>
      <c r="E77" s="676" t="s">
        <v>2411</v>
      </c>
      <c r="F77" s="729"/>
      <c r="G77" s="678"/>
      <c r="H77" s="2844"/>
      <c r="I77" s="2845"/>
      <c r="J77" s="2845"/>
      <c r="K77" s="2845"/>
      <c r="L77" s="2846"/>
      <c r="M77" s="691">
        <f>ROUNDDOWN(S77,1)</f>
        <v>3</v>
      </c>
      <c r="N77" s="806">
        <f t="shared" si="21"/>
        <v>0.8</v>
      </c>
      <c r="O77" s="807">
        <f>ROUNDDOWN(T77,1)</f>
        <v>0</v>
      </c>
      <c r="P77" s="667">
        <f t="shared" si="22"/>
        <v>0</v>
      </c>
      <c r="Q77" s="668"/>
      <c r="R77" s="586"/>
      <c r="S77" s="802">
        <f>IF(採点Q2!F193="対象外",0,採点Q2!F193)</f>
        <v>3</v>
      </c>
      <c r="T77" s="585"/>
      <c r="V77" s="695">
        <f>M77</f>
        <v>3</v>
      </c>
      <c r="W77" s="670">
        <f>重み!D77</f>
        <v>0.8</v>
      </c>
      <c r="X77" s="742"/>
      <c r="Y77" s="670">
        <f>重み!E77</f>
        <v>0</v>
      </c>
      <c r="Z77" s="641"/>
      <c r="AA77" s="586"/>
      <c r="AB77" s="617">
        <f>重み!M77</f>
        <v>0.8</v>
      </c>
      <c r="AC77" s="601"/>
      <c r="AD77" s="617">
        <f>重み!N77</f>
        <v>0</v>
      </c>
      <c r="AP77" s="2672">
        <f t="shared" si="20"/>
        <v>0</v>
      </c>
    </row>
    <row r="78" spans="2:58" ht="14.25" thickBot="1">
      <c r="B78" s="752"/>
      <c r="C78" s="751"/>
      <c r="D78" s="687">
        <v>2</v>
      </c>
      <c r="E78" s="676" t="s">
        <v>2412</v>
      </c>
      <c r="F78" s="729"/>
      <c r="G78" s="678"/>
      <c r="H78" s="2844"/>
      <c r="I78" s="2845"/>
      <c r="J78" s="2845"/>
      <c r="K78" s="2845"/>
      <c r="L78" s="2846"/>
      <c r="M78" s="699">
        <f>ROUNDDOWN(S78,1)</f>
        <v>3</v>
      </c>
      <c r="N78" s="806">
        <f t="shared" si="21"/>
        <v>0.2</v>
      </c>
      <c r="O78" s="807">
        <f>ROUNDDOWN(T78,1)</f>
        <v>0</v>
      </c>
      <c r="P78" s="667">
        <f t="shared" si="22"/>
        <v>0</v>
      </c>
      <c r="Q78" s="668"/>
      <c r="R78" s="586"/>
      <c r="S78" s="802">
        <f>IF(採点Q2!K193="対象外",0,採点Q2!K193)</f>
        <v>3</v>
      </c>
      <c r="T78" s="585"/>
      <c r="V78" s="695">
        <f>M78</f>
        <v>3</v>
      </c>
      <c r="W78" s="670">
        <f>重み!D78</f>
        <v>0.2</v>
      </c>
      <c r="X78" s="742"/>
      <c r="Y78" s="670">
        <f>重み!E78</f>
        <v>0</v>
      </c>
      <c r="Z78" s="641"/>
      <c r="AA78" s="586"/>
      <c r="AB78" s="617">
        <f>重み!M78</f>
        <v>0.2</v>
      </c>
      <c r="AC78" s="601"/>
      <c r="AD78" s="617">
        <f>重み!N78</f>
        <v>0</v>
      </c>
      <c r="AP78" s="2672">
        <f t="shared" si="20"/>
        <v>0</v>
      </c>
    </row>
    <row r="79" spans="2:58" ht="14.25" thickBot="1">
      <c r="B79" s="752"/>
      <c r="C79" s="702">
        <v>2.2000000000000002</v>
      </c>
      <c r="D79" s="722" t="s">
        <v>2413</v>
      </c>
      <c r="E79" s="723"/>
      <c r="F79" s="724"/>
      <c r="G79" s="678">
        <v>5</v>
      </c>
      <c r="H79" s="662"/>
      <c r="I79" s="663"/>
      <c r="J79" s="663"/>
      <c r="K79" s="663"/>
      <c r="L79" s="664"/>
      <c r="M79" s="753">
        <f>ROUNDDOWN(V79,1)</f>
        <v>3</v>
      </c>
      <c r="N79" s="666">
        <f t="shared" si="21"/>
        <v>0.3</v>
      </c>
      <c r="O79" s="804">
        <f>ROUNDDOWN(X79,1)</f>
        <v>0</v>
      </c>
      <c r="P79" s="667">
        <f t="shared" si="22"/>
        <v>0</v>
      </c>
      <c r="Q79" s="668"/>
      <c r="R79" s="586"/>
      <c r="S79" s="808"/>
      <c r="T79" s="585"/>
      <c r="V79" s="669">
        <f>SUMPRODUCT(V80:V85,W80:W85)</f>
        <v>3.0000000000000004</v>
      </c>
      <c r="W79" s="670">
        <f>重み!D79</f>
        <v>0.3</v>
      </c>
      <c r="X79" s="669">
        <f>SUMPRODUCT(X80:X85,Y80:Y85)</f>
        <v>0</v>
      </c>
      <c r="Y79" s="670">
        <f>重み!E79</f>
        <v>0</v>
      </c>
      <c r="Z79" s="641"/>
      <c r="AA79" s="586"/>
      <c r="AB79" s="617">
        <f>重み!M79</f>
        <v>0.3</v>
      </c>
      <c r="AC79" s="601"/>
      <c r="AD79" s="617">
        <f>重み!N79</f>
        <v>0</v>
      </c>
      <c r="AP79" s="2672">
        <f t="shared" si="20"/>
        <v>0</v>
      </c>
    </row>
    <row r="80" spans="2:58">
      <c r="B80" s="752"/>
      <c r="C80" s="728"/>
      <c r="D80" s="687">
        <v>1</v>
      </c>
      <c r="E80" s="676" t="s">
        <v>866</v>
      </c>
      <c r="F80" s="729"/>
      <c r="G80" s="678"/>
      <c r="H80" s="2844"/>
      <c r="I80" s="2845"/>
      <c r="J80" s="2845"/>
      <c r="K80" s="2845"/>
      <c r="L80" s="2846"/>
      <c r="M80" s="691">
        <f t="shared" ref="M80:M85" si="24">ROUNDDOWN(S80,1)</f>
        <v>3</v>
      </c>
      <c r="N80" s="806">
        <f t="shared" si="21"/>
        <v>0.2</v>
      </c>
      <c r="O80" s="807">
        <f t="shared" ref="O80:O85" si="25">ROUNDDOWN(T80,1)</f>
        <v>0</v>
      </c>
      <c r="P80" s="667">
        <f t="shared" si="22"/>
        <v>0</v>
      </c>
      <c r="Q80" s="668"/>
      <c r="R80" s="586"/>
      <c r="S80" s="768">
        <f>IF(採点Q2!F203="対象外",0,採点Q2!F203)</f>
        <v>3</v>
      </c>
      <c r="T80" s="585"/>
      <c r="V80" s="695">
        <f t="shared" ref="V80:V85" si="26">M80</f>
        <v>3</v>
      </c>
      <c r="W80" s="670">
        <f>重み!D80</f>
        <v>0.2</v>
      </c>
      <c r="X80" s="742"/>
      <c r="Y80" s="670">
        <f>重み!E80</f>
        <v>0</v>
      </c>
      <c r="Z80" s="641"/>
      <c r="AA80" s="586"/>
      <c r="AB80" s="617">
        <f>重み!M80</f>
        <v>0.2</v>
      </c>
      <c r="AC80" s="601"/>
      <c r="AD80" s="617">
        <f>重み!N80</f>
        <v>0</v>
      </c>
      <c r="AP80" s="2672">
        <f t="shared" si="20"/>
        <v>0</v>
      </c>
    </row>
    <row r="81" spans="2:48">
      <c r="B81" s="752"/>
      <c r="C81" s="728"/>
      <c r="D81" s="687">
        <v>2</v>
      </c>
      <c r="E81" s="676" t="s">
        <v>867</v>
      </c>
      <c r="F81" s="729"/>
      <c r="G81" s="678"/>
      <c r="H81" s="2844"/>
      <c r="I81" s="2845"/>
      <c r="J81" s="2845"/>
      <c r="K81" s="2845"/>
      <c r="L81" s="2846"/>
      <c r="M81" s="706">
        <f t="shared" si="24"/>
        <v>3</v>
      </c>
      <c r="N81" s="806">
        <f t="shared" si="21"/>
        <v>0.2</v>
      </c>
      <c r="O81" s="807">
        <f t="shared" si="25"/>
        <v>0</v>
      </c>
      <c r="P81" s="667">
        <f t="shared" si="22"/>
        <v>0</v>
      </c>
      <c r="Q81" s="668"/>
      <c r="R81" s="586"/>
      <c r="S81" s="802">
        <f>IF(採点Q2!K203="対象外",0,採点Q2!K203)</f>
        <v>3</v>
      </c>
      <c r="T81" s="585"/>
      <c r="V81" s="695">
        <f t="shared" si="26"/>
        <v>3</v>
      </c>
      <c r="W81" s="670">
        <f>重み!D81</f>
        <v>0.2</v>
      </c>
      <c r="X81" s="742"/>
      <c r="Y81" s="670">
        <f>重み!E81</f>
        <v>0</v>
      </c>
      <c r="Z81" s="641"/>
      <c r="AA81" s="586"/>
      <c r="AB81" s="617">
        <f>重み!M81</f>
        <v>0.2</v>
      </c>
      <c r="AC81" s="601"/>
      <c r="AD81" s="617">
        <f>重み!N81</f>
        <v>0</v>
      </c>
      <c r="AP81" s="2672">
        <f t="shared" si="20"/>
        <v>0</v>
      </c>
    </row>
    <row r="82" spans="2:48">
      <c r="B82" s="752"/>
      <c r="C82" s="728"/>
      <c r="D82" s="687">
        <v>3</v>
      </c>
      <c r="E82" s="2864" t="s">
        <v>868</v>
      </c>
      <c r="F82" s="2865"/>
      <c r="G82" s="678"/>
      <c r="H82" s="2844"/>
      <c r="I82" s="2845"/>
      <c r="J82" s="2845"/>
      <c r="K82" s="2845"/>
      <c r="L82" s="2846"/>
      <c r="M82" s="706">
        <f t="shared" si="24"/>
        <v>3</v>
      </c>
      <c r="N82" s="806">
        <f t="shared" si="21"/>
        <v>0.1</v>
      </c>
      <c r="O82" s="807">
        <f t="shared" si="25"/>
        <v>0</v>
      </c>
      <c r="P82" s="667">
        <f t="shared" si="22"/>
        <v>0</v>
      </c>
      <c r="Q82" s="668"/>
      <c r="R82" s="586"/>
      <c r="S82" s="802">
        <f>IF(採点Q2!F212="対象外",0,採点Q2!F212)</f>
        <v>3</v>
      </c>
      <c r="T82" s="585"/>
      <c r="V82" s="695">
        <f t="shared" si="26"/>
        <v>3</v>
      </c>
      <c r="W82" s="670">
        <f>重み!D82</f>
        <v>0.1</v>
      </c>
      <c r="X82" s="742"/>
      <c r="Y82" s="670">
        <f>重み!E82</f>
        <v>0</v>
      </c>
      <c r="Z82" s="641"/>
      <c r="AA82" s="586"/>
      <c r="AB82" s="617">
        <f>重み!M82</f>
        <v>0.1</v>
      </c>
      <c r="AC82" s="601"/>
      <c r="AD82" s="617">
        <f>重み!N82</f>
        <v>0</v>
      </c>
      <c r="AP82" s="2672">
        <f t="shared" si="20"/>
        <v>0</v>
      </c>
    </row>
    <row r="83" spans="2:48">
      <c r="B83" s="752"/>
      <c r="C83" s="728"/>
      <c r="D83" s="687">
        <v>4</v>
      </c>
      <c r="E83" s="676" t="s">
        <v>869</v>
      </c>
      <c r="F83" s="729"/>
      <c r="G83" s="678"/>
      <c r="H83" s="2844"/>
      <c r="I83" s="2845"/>
      <c r="J83" s="2845"/>
      <c r="K83" s="2845"/>
      <c r="L83" s="2846"/>
      <c r="M83" s="706">
        <f t="shared" si="24"/>
        <v>3</v>
      </c>
      <c r="N83" s="806">
        <f t="shared" si="21"/>
        <v>0.1</v>
      </c>
      <c r="O83" s="809">
        <f t="shared" si="25"/>
        <v>0</v>
      </c>
      <c r="P83" s="667">
        <f t="shared" si="22"/>
        <v>0</v>
      </c>
      <c r="Q83" s="668"/>
      <c r="R83" s="586"/>
      <c r="S83" s="802">
        <f>IF(採点Q2!K212="対象外",0,採点Q2!K212)</f>
        <v>3</v>
      </c>
      <c r="T83" s="585"/>
      <c r="V83" s="695">
        <f t="shared" si="26"/>
        <v>3</v>
      </c>
      <c r="W83" s="670">
        <f>重み!D83</f>
        <v>0.1</v>
      </c>
      <c r="X83" s="742"/>
      <c r="Y83" s="670">
        <f>重み!E83</f>
        <v>0</v>
      </c>
      <c r="Z83" s="641"/>
      <c r="AA83" s="586"/>
      <c r="AB83" s="617">
        <f>重み!M83</f>
        <v>0.1</v>
      </c>
      <c r="AC83" s="601"/>
      <c r="AD83" s="617">
        <f>重み!N83</f>
        <v>0</v>
      </c>
      <c r="AP83" s="2672">
        <f t="shared" si="20"/>
        <v>0</v>
      </c>
    </row>
    <row r="84" spans="2:48">
      <c r="B84" s="752"/>
      <c r="C84" s="728"/>
      <c r="D84" s="687">
        <v>5</v>
      </c>
      <c r="E84" s="2864" t="s">
        <v>870</v>
      </c>
      <c r="F84" s="2865"/>
      <c r="G84" s="678"/>
      <c r="H84" s="2844"/>
      <c r="I84" s="2845"/>
      <c r="J84" s="2845"/>
      <c r="K84" s="2845"/>
      <c r="L84" s="2846"/>
      <c r="M84" s="706">
        <f t="shared" si="24"/>
        <v>3</v>
      </c>
      <c r="N84" s="806">
        <f t="shared" si="21"/>
        <v>0.2</v>
      </c>
      <c r="O84" s="809">
        <f t="shared" si="25"/>
        <v>0</v>
      </c>
      <c r="P84" s="667">
        <f t="shared" si="22"/>
        <v>0</v>
      </c>
      <c r="Q84" s="668"/>
      <c r="R84" s="586"/>
      <c r="S84" s="802">
        <f>IF(採点Q2!F221="対象外",0,採点Q2!F221)</f>
        <v>3</v>
      </c>
      <c r="T84" s="585"/>
      <c r="V84" s="695">
        <f t="shared" si="26"/>
        <v>3</v>
      </c>
      <c r="W84" s="670">
        <f>重み!D84</f>
        <v>0.2</v>
      </c>
      <c r="X84" s="742"/>
      <c r="Y84" s="670">
        <f>重み!E84</f>
        <v>0</v>
      </c>
      <c r="Z84" s="641"/>
      <c r="AA84" s="586"/>
      <c r="AB84" s="617">
        <f>重み!M84</f>
        <v>0.2</v>
      </c>
      <c r="AC84" s="601"/>
      <c r="AD84" s="617">
        <f>重み!N84</f>
        <v>0</v>
      </c>
      <c r="AP84" s="2672">
        <f t="shared" si="20"/>
        <v>0</v>
      </c>
    </row>
    <row r="85" spans="2:48" ht="14.25" thickBot="1">
      <c r="B85" s="752"/>
      <c r="C85" s="751"/>
      <c r="D85" s="687">
        <v>6</v>
      </c>
      <c r="E85" s="676" t="s">
        <v>871</v>
      </c>
      <c r="F85" s="729"/>
      <c r="G85" s="698"/>
      <c r="H85" s="2866"/>
      <c r="I85" s="2867"/>
      <c r="J85" s="2867"/>
      <c r="K85" s="2867"/>
      <c r="L85" s="2868"/>
      <c r="M85" s="699">
        <f t="shared" si="24"/>
        <v>3</v>
      </c>
      <c r="N85" s="811">
        <f t="shared" si="21"/>
        <v>0.2</v>
      </c>
      <c r="O85" s="812">
        <f t="shared" si="25"/>
        <v>0</v>
      </c>
      <c r="P85" s="796">
        <f t="shared" si="22"/>
        <v>0</v>
      </c>
      <c r="Q85" s="797"/>
      <c r="R85" s="586"/>
      <c r="S85" s="776">
        <f>IF(採点Q2!K221="対象外",0,採点Q2!K221)</f>
        <v>3</v>
      </c>
      <c r="T85" s="585"/>
      <c r="V85" s="695">
        <f t="shared" si="26"/>
        <v>3</v>
      </c>
      <c r="W85" s="670">
        <f>重み!D85</f>
        <v>0.2</v>
      </c>
      <c r="X85" s="742"/>
      <c r="Y85" s="670">
        <f>重み!E85</f>
        <v>0</v>
      </c>
      <c r="Z85" s="641"/>
      <c r="AA85" s="586"/>
      <c r="AB85" s="617">
        <f>重み!M85</f>
        <v>0.2</v>
      </c>
      <c r="AC85" s="601"/>
      <c r="AD85" s="617">
        <f>重み!N85</f>
        <v>0</v>
      </c>
      <c r="AP85" s="2672">
        <f t="shared" si="20"/>
        <v>0</v>
      </c>
    </row>
    <row r="86" spans="2:48" ht="14.25" hidden="1" thickBot="1">
      <c r="B86" s="752"/>
      <c r="C86" s="702">
        <v>2.2999999999999998</v>
      </c>
      <c r="D86" s="675" t="s">
        <v>872</v>
      </c>
      <c r="E86" s="723"/>
      <c r="F86" s="724"/>
      <c r="G86" s="813"/>
      <c r="H86" s="814"/>
      <c r="I86" s="815"/>
      <c r="J86" s="815"/>
      <c r="K86" s="815"/>
      <c r="L86" s="815"/>
      <c r="M86" s="753">
        <f>ROUNDDOWN(V86,1)</f>
        <v>0</v>
      </c>
      <c r="N86" s="725">
        <f t="shared" si="21"/>
        <v>0</v>
      </c>
      <c r="O86" s="816">
        <f>ROUNDDOWN(X86,1)</f>
        <v>0</v>
      </c>
      <c r="P86" s="727">
        <f t="shared" si="22"/>
        <v>0</v>
      </c>
      <c r="Q86" s="684"/>
      <c r="R86" s="586"/>
      <c r="S86" s="808"/>
      <c r="T86" s="585"/>
      <c r="V86" s="669">
        <f>SUMPRODUCT(V87:V89,W87:W89)</f>
        <v>0</v>
      </c>
      <c r="W86" s="670">
        <f>重み!D86</f>
        <v>0</v>
      </c>
      <c r="X86" s="669">
        <f>SUMPRODUCT(X87:X89,Y87:Y89)</f>
        <v>0</v>
      </c>
      <c r="Y86" s="670">
        <f>重み!E86</f>
        <v>0</v>
      </c>
      <c r="Z86" s="641"/>
      <c r="AA86" s="586"/>
      <c r="AB86" s="617">
        <f>重み!M86</f>
        <v>0</v>
      </c>
      <c r="AC86" s="601"/>
      <c r="AD86" s="617">
        <f>重み!N86</f>
        <v>0</v>
      </c>
      <c r="AP86" s="2672">
        <f t="shared" si="20"/>
        <v>0</v>
      </c>
    </row>
    <row r="87" spans="2:48" hidden="1">
      <c r="B87" s="752"/>
      <c r="C87" s="686"/>
      <c r="D87" s="687">
        <v>1</v>
      </c>
      <c r="E87" s="676" t="s">
        <v>83</v>
      </c>
      <c r="F87" s="729"/>
      <c r="G87" s="678"/>
      <c r="H87" s="2844"/>
      <c r="I87" s="2845"/>
      <c r="J87" s="2845"/>
      <c r="K87" s="2845"/>
      <c r="L87" s="2846"/>
      <c r="M87" s="691">
        <f>ROUNDDOWN(S87,1)</f>
        <v>3</v>
      </c>
      <c r="N87" s="806">
        <f t="shared" si="21"/>
        <v>0</v>
      </c>
      <c r="O87" s="807">
        <f>ROUNDDOWN(T87,1)</f>
        <v>0</v>
      </c>
      <c r="P87" s="667">
        <f t="shared" si="22"/>
        <v>0</v>
      </c>
      <c r="Q87" s="668"/>
      <c r="R87" s="586"/>
      <c r="S87" s="768">
        <f>採点Q2!F231</f>
        <v>3</v>
      </c>
      <c r="T87" s="585"/>
      <c r="V87" s="695">
        <f>M87</f>
        <v>3</v>
      </c>
      <c r="W87" s="670">
        <f>重み!D87</f>
        <v>0</v>
      </c>
      <c r="X87" s="730"/>
      <c r="Y87" s="670">
        <f>重み!E87</f>
        <v>0</v>
      </c>
      <c r="Z87" s="641"/>
      <c r="AA87" s="586"/>
      <c r="AB87" s="617">
        <f>重み!M87</f>
        <v>0</v>
      </c>
      <c r="AC87" s="601"/>
      <c r="AD87" s="617">
        <f>重み!N87</f>
        <v>0</v>
      </c>
      <c r="AP87" s="2672">
        <f t="shared" si="20"/>
        <v>0</v>
      </c>
    </row>
    <row r="88" spans="2:48" hidden="1">
      <c r="B88" s="752"/>
      <c r="C88" s="686"/>
      <c r="D88" s="687">
        <v>2</v>
      </c>
      <c r="E88" s="676" t="s">
        <v>84</v>
      </c>
      <c r="F88" s="729"/>
      <c r="G88" s="678"/>
      <c r="H88" s="2844"/>
      <c r="I88" s="2845"/>
      <c r="J88" s="2845"/>
      <c r="K88" s="2845"/>
      <c r="L88" s="2846"/>
      <c r="M88" s="706">
        <f>ROUNDDOWN(S88,1)</f>
        <v>3</v>
      </c>
      <c r="N88" s="806">
        <f t="shared" si="21"/>
        <v>0</v>
      </c>
      <c r="O88" s="807">
        <f>ROUNDDOWN(T88,1)</f>
        <v>0</v>
      </c>
      <c r="P88" s="667">
        <f t="shared" si="22"/>
        <v>0</v>
      </c>
      <c r="Q88" s="668"/>
      <c r="R88" s="586"/>
      <c r="S88" s="802">
        <f>採点Q2!K231</f>
        <v>3</v>
      </c>
      <c r="T88" s="585"/>
      <c r="V88" s="695">
        <f>M88</f>
        <v>3</v>
      </c>
      <c r="W88" s="670">
        <f>重み!D88</f>
        <v>0</v>
      </c>
      <c r="X88" s="730"/>
      <c r="Y88" s="670">
        <f>重み!E88</f>
        <v>0</v>
      </c>
      <c r="Z88" s="641"/>
      <c r="AA88" s="586"/>
      <c r="AB88" s="617">
        <f>重み!M88</f>
        <v>0</v>
      </c>
      <c r="AC88" s="601"/>
      <c r="AD88" s="617">
        <f>重み!N88</f>
        <v>0</v>
      </c>
      <c r="AP88" s="2672">
        <f t="shared" si="20"/>
        <v>0</v>
      </c>
    </row>
    <row r="89" spans="2:48" ht="14.25" hidden="1" thickBot="1">
      <c r="B89" s="752"/>
      <c r="C89" s="696"/>
      <c r="D89" s="687">
        <v>3</v>
      </c>
      <c r="E89" s="676" t="s">
        <v>85</v>
      </c>
      <c r="F89" s="729"/>
      <c r="G89" s="678"/>
      <c r="H89" s="2844"/>
      <c r="I89" s="2845"/>
      <c r="J89" s="2845"/>
      <c r="K89" s="2845"/>
      <c r="L89" s="2846"/>
      <c r="M89" s="699">
        <f>ROUNDDOWN(S89,1)</f>
        <v>3</v>
      </c>
      <c r="N89" s="806">
        <f t="shared" si="21"/>
        <v>0</v>
      </c>
      <c r="O89" s="807">
        <f>ROUNDDOWN(T89,1)</f>
        <v>0</v>
      </c>
      <c r="P89" s="667">
        <f t="shared" si="22"/>
        <v>0</v>
      </c>
      <c r="Q89" s="668"/>
      <c r="R89" s="586"/>
      <c r="S89" s="776">
        <f>採点Q2!F240</f>
        <v>3</v>
      </c>
      <c r="T89" s="585"/>
      <c r="V89" s="695">
        <f>M89</f>
        <v>3</v>
      </c>
      <c r="W89" s="670">
        <f>重み!D89</f>
        <v>0</v>
      </c>
      <c r="X89" s="730"/>
      <c r="Y89" s="670">
        <f>重み!E89</f>
        <v>0</v>
      </c>
      <c r="Z89" s="641"/>
      <c r="AA89" s="586"/>
      <c r="AB89" s="617">
        <f>重み!M89</f>
        <v>0</v>
      </c>
      <c r="AC89" s="601"/>
      <c r="AD89" s="617">
        <f>重み!N89</f>
        <v>0</v>
      </c>
      <c r="AP89" s="2672">
        <f t="shared" si="20"/>
        <v>0</v>
      </c>
    </row>
    <row r="90" spans="2:48" ht="14.25" thickBot="1">
      <c r="B90" s="673"/>
      <c r="C90" s="674">
        <v>2.4</v>
      </c>
      <c r="D90" s="722" t="s">
        <v>86</v>
      </c>
      <c r="E90" s="723"/>
      <c r="F90" s="724"/>
      <c r="G90" s="678"/>
      <c r="H90" s="662"/>
      <c r="I90" s="663"/>
      <c r="J90" s="663"/>
      <c r="K90" s="663"/>
      <c r="L90" s="664"/>
      <c r="M90" s="753">
        <f>ROUNDDOWN(V90,1)</f>
        <v>3</v>
      </c>
      <c r="N90" s="666">
        <f t="shared" si="21"/>
        <v>0.2</v>
      </c>
      <c r="O90" s="804">
        <f>ROUNDDOWN(X90,1)</f>
        <v>0</v>
      </c>
      <c r="P90" s="667">
        <f t="shared" si="22"/>
        <v>0</v>
      </c>
      <c r="Q90" s="668"/>
      <c r="R90" s="586"/>
      <c r="S90" s="585"/>
      <c r="T90" s="585"/>
      <c r="V90" s="669">
        <f>SUMPRODUCT(V91:V95,W91:W95)</f>
        <v>3.0000000000000004</v>
      </c>
      <c r="W90" s="670">
        <f>重み!D90</f>
        <v>0.2</v>
      </c>
      <c r="X90" s="669">
        <f>SUMPRODUCT(X91:X95,Y91:Y95)</f>
        <v>0</v>
      </c>
      <c r="Y90" s="670">
        <f>重み!E90</f>
        <v>0</v>
      </c>
      <c r="Z90" s="641"/>
      <c r="AA90" s="586"/>
      <c r="AB90" s="617">
        <f>重み!M90</f>
        <v>0.2</v>
      </c>
      <c r="AC90" s="601"/>
      <c r="AD90" s="617">
        <f>重み!N90</f>
        <v>0</v>
      </c>
      <c r="AP90" s="2672">
        <f t="shared" si="20"/>
        <v>0</v>
      </c>
      <c r="AT90"/>
      <c r="AU90"/>
      <c r="AV90"/>
    </row>
    <row r="91" spans="2:48">
      <c r="B91" s="673"/>
      <c r="C91" s="728"/>
      <c r="D91" s="687">
        <v>1</v>
      </c>
      <c r="E91" s="676" t="s">
        <v>87</v>
      </c>
      <c r="F91" s="729"/>
      <c r="G91" s="678"/>
      <c r="H91" s="2844"/>
      <c r="I91" s="2845"/>
      <c r="J91" s="2845"/>
      <c r="K91" s="2845"/>
      <c r="L91" s="2846"/>
      <c r="M91" s="691">
        <f>ROUNDDOWN(S91,1)</f>
        <v>3</v>
      </c>
      <c r="N91" s="806">
        <f t="shared" si="21"/>
        <v>0.2</v>
      </c>
      <c r="O91" s="807">
        <f>ROUNDDOWN(T91,1)</f>
        <v>0</v>
      </c>
      <c r="P91" s="667">
        <f t="shared" si="22"/>
        <v>0</v>
      </c>
      <c r="Q91" s="668"/>
      <c r="R91" s="586"/>
      <c r="S91" s="768">
        <f>IF(採点Q2!F250="対象外",0,採点Q2!F250)</f>
        <v>3</v>
      </c>
      <c r="T91" s="585"/>
      <c r="V91" s="695">
        <f>M91</f>
        <v>3</v>
      </c>
      <c r="W91" s="670">
        <f>重み!D91</f>
        <v>0.2</v>
      </c>
      <c r="X91" s="742"/>
      <c r="Y91" s="670">
        <f>重み!E91</f>
        <v>0</v>
      </c>
      <c r="Z91" s="641"/>
      <c r="AA91" s="586"/>
      <c r="AB91" s="617">
        <f>重み!M91</f>
        <v>0.2</v>
      </c>
      <c r="AC91" s="601"/>
      <c r="AD91" s="617">
        <f>重み!N91</f>
        <v>0</v>
      </c>
      <c r="AP91" s="2672">
        <f t="shared" si="20"/>
        <v>0</v>
      </c>
    </row>
    <row r="92" spans="2:48">
      <c r="B92" s="673"/>
      <c r="C92" s="728"/>
      <c r="D92" s="687">
        <v>2</v>
      </c>
      <c r="E92" s="676" t="s">
        <v>88</v>
      </c>
      <c r="F92" s="729"/>
      <c r="G92" s="678"/>
      <c r="H92" s="2844"/>
      <c r="I92" s="2845"/>
      <c r="J92" s="2845"/>
      <c r="K92" s="2845"/>
      <c r="L92" s="2846"/>
      <c r="M92" s="706">
        <f>ROUNDDOWN(S92,1)</f>
        <v>3</v>
      </c>
      <c r="N92" s="806">
        <f t="shared" si="21"/>
        <v>0.2</v>
      </c>
      <c r="O92" s="807">
        <f>ROUNDDOWN(T92,1)</f>
        <v>0</v>
      </c>
      <c r="P92" s="667">
        <f t="shared" si="22"/>
        <v>0</v>
      </c>
      <c r="Q92" s="668"/>
      <c r="R92" s="586"/>
      <c r="S92" s="802">
        <f>IF(採点Q2!F268="対象外",0,採点Q2!F268)</f>
        <v>3</v>
      </c>
      <c r="T92" s="585"/>
      <c r="V92" s="695">
        <f>M92</f>
        <v>3</v>
      </c>
      <c r="W92" s="670">
        <f>重み!D92</f>
        <v>0.2</v>
      </c>
      <c r="X92" s="742"/>
      <c r="Y92" s="670">
        <f>重み!E92</f>
        <v>0</v>
      </c>
      <c r="Z92" s="641"/>
      <c r="AA92" s="586"/>
      <c r="AB92" s="617">
        <f>重み!M92</f>
        <v>0.2</v>
      </c>
      <c r="AC92" s="601"/>
      <c r="AD92" s="617">
        <f>重み!N92</f>
        <v>0</v>
      </c>
      <c r="AP92" s="2672">
        <f t="shared" si="20"/>
        <v>0</v>
      </c>
    </row>
    <row r="93" spans="2:48">
      <c r="B93" s="673"/>
      <c r="C93" s="728"/>
      <c r="D93" s="687">
        <v>3</v>
      </c>
      <c r="E93" s="676" t="s">
        <v>89</v>
      </c>
      <c r="F93" s="729"/>
      <c r="G93" s="678"/>
      <c r="H93" s="2844"/>
      <c r="I93" s="2845"/>
      <c r="J93" s="2845"/>
      <c r="K93" s="2845"/>
      <c r="L93" s="2846"/>
      <c r="M93" s="706">
        <f>ROUNDDOWN(S93,1)</f>
        <v>3</v>
      </c>
      <c r="N93" s="806">
        <f t="shared" si="21"/>
        <v>0.2</v>
      </c>
      <c r="O93" s="807">
        <f>ROUNDDOWN(T93,1)</f>
        <v>0</v>
      </c>
      <c r="P93" s="667">
        <f t="shared" si="22"/>
        <v>0</v>
      </c>
      <c r="Q93" s="668"/>
      <c r="R93" s="586"/>
      <c r="S93" s="802">
        <f>IF(採点Q2!F290="対象外",0,採点Q2!F290)</f>
        <v>3</v>
      </c>
      <c r="T93" s="817"/>
      <c r="V93" s="695">
        <f>M93</f>
        <v>3</v>
      </c>
      <c r="W93" s="670">
        <f>重み!D93</f>
        <v>0.2</v>
      </c>
      <c r="X93" s="742"/>
      <c r="Y93" s="670">
        <f>重み!E93</f>
        <v>0</v>
      </c>
      <c r="Z93" s="641"/>
      <c r="AA93" s="586"/>
      <c r="AB93" s="617">
        <f>重み!M93</f>
        <v>0.2</v>
      </c>
      <c r="AC93" s="601"/>
      <c r="AD93" s="617">
        <f>重み!N93</f>
        <v>0</v>
      </c>
      <c r="AP93" s="2672">
        <f t="shared" si="20"/>
        <v>0</v>
      </c>
    </row>
    <row r="94" spans="2:48">
      <c r="B94" s="673"/>
      <c r="C94" s="728"/>
      <c r="D94" s="687">
        <v>4</v>
      </c>
      <c r="E94" s="676" t="s">
        <v>1357</v>
      </c>
      <c r="F94" s="729"/>
      <c r="G94" s="678"/>
      <c r="H94" s="2844"/>
      <c r="I94" s="2845"/>
      <c r="J94" s="2845"/>
      <c r="K94" s="2845"/>
      <c r="L94" s="2846"/>
      <c r="M94" s="706">
        <f>ROUNDDOWN(S94,1)</f>
        <v>3</v>
      </c>
      <c r="N94" s="806">
        <f t="shared" si="21"/>
        <v>0.2</v>
      </c>
      <c r="O94" s="807">
        <f>ROUNDDOWN(T94,1)</f>
        <v>0</v>
      </c>
      <c r="P94" s="667">
        <f t="shared" si="22"/>
        <v>0</v>
      </c>
      <c r="Q94" s="668"/>
      <c r="R94" s="586"/>
      <c r="S94" s="802">
        <f>IF(採点Q2!F309="対象外",0,採点Q2!F309)</f>
        <v>3</v>
      </c>
      <c r="T94" s="817"/>
      <c r="V94" s="695">
        <f>M94</f>
        <v>3</v>
      </c>
      <c r="W94" s="670">
        <f>重み!D94</f>
        <v>0.2</v>
      </c>
      <c r="X94" s="742"/>
      <c r="Y94" s="670">
        <f>重み!E94</f>
        <v>0</v>
      </c>
      <c r="Z94" s="641"/>
      <c r="AA94" s="586"/>
      <c r="AB94" s="617">
        <f>重み!M94</f>
        <v>0.2</v>
      </c>
      <c r="AC94" s="601"/>
      <c r="AD94" s="617">
        <f>重み!N94</f>
        <v>0</v>
      </c>
      <c r="AP94" s="2672">
        <f t="shared" si="20"/>
        <v>0</v>
      </c>
    </row>
    <row r="95" spans="2:48" ht="14.25" thickBot="1">
      <c r="B95" s="818"/>
      <c r="C95" s="751"/>
      <c r="D95" s="687">
        <v>5</v>
      </c>
      <c r="E95" s="676" t="s">
        <v>1358</v>
      </c>
      <c r="F95" s="729"/>
      <c r="G95" s="698"/>
      <c r="H95" s="2844"/>
      <c r="I95" s="2845"/>
      <c r="J95" s="2845"/>
      <c r="K95" s="2845"/>
      <c r="L95" s="2846"/>
      <c r="M95" s="699">
        <f>ROUNDDOWN(S95,1)</f>
        <v>3</v>
      </c>
      <c r="N95" s="819">
        <f t="shared" si="21"/>
        <v>0.2</v>
      </c>
      <c r="O95" s="820">
        <f>ROUNDDOWN(T95,1)</f>
        <v>0</v>
      </c>
      <c r="P95" s="796">
        <f t="shared" si="22"/>
        <v>0</v>
      </c>
      <c r="Q95" s="797"/>
      <c r="R95" s="586"/>
      <c r="S95" s="776">
        <f>IF(採点Q2!F318="対象外",0,採点Q2!F318)</f>
        <v>3</v>
      </c>
      <c r="T95" s="817"/>
      <c r="V95" s="695">
        <f>M95</f>
        <v>3</v>
      </c>
      <c r="W95" s="670">
        <f>重み!D95</f>
        <v>0.2</v>
      </c>
      <c r="X95" s="742"/>
      <c r="Y95" s="670">
        <f>重み!E95</f>
        <v>0</v>
      </c>
      <c r="Z95" s="641"/>
      <c r="AA95" s="586"/>
      <c r="AB95" s="617">
        <f>重み!M95</f>
        <v>0.2</v>
      </c>
      <c r="AC95" s="601"/>
      <c r="AD95" s="617">
        <f>重み!N95</f>
        <v>0</v>
      </c>
      <c r="AP95" s="2672">
        <f t="shared" si="20"/>
        <v>0</v>
      </c>
    </row>
    <row r="96" spans="2:48" hidden="1">
      <c r="B96" s="673"/>
      <c r="C96" s="821"/>
      <c r="D96" s="822"/>
      <c r="E96" s="823"/>
      <c r="F96" s="660"/>
      <c r="G96" s="678"/>
      <c r="H96" s="662"/>
      <c r="I96" s="663"/>
      <c r="J96" s="663"/>
      <c r="K96" s="663"/>
      <c r="L96" s="664"/>
      <c r="M96" s="824">
        <f>ROUNDDOWN(V96,1)</f>
        <v>0</v>
      </c>
      <c r="N96" s="666">
        <f t="shared" si="21"/>
        <v>0</v>
      </c>
      <c r="O96" s="807">
        <f>ROUNDDOWN(X96,1)</f>
        <v>0</v>
      </c>
      <c r="P96" s="667">
        <f t="shared" si="22"/>
        <v>0</v>
      </c>
      <c r="Q96" s="668"/>
      <c r="R96" s="586"/>
      <c r="S96" s="808"/>
      <c r="T96" s="585"/>
      <c r="V96" s="742"/>
      <c r="W96" s="670">
        <f>重み!D96</f>
        <v>0</v>
      </c>
      <c r="X96" s="742"/>
      <c r="Y96" s="670">
        <f>重み!E96</f>
        <v>0</v>
      </c>
      <c r="Z96" s="641"/>
      <c r="AA96" s="586"/>
      <c r="AB96" s="617">
        <f>重み!M96</f>
        <v>0</v>
      </c>
      <c r="AC96" s="601"/>
      <c r="AD96" s="617">
        <f>重み!N96</f>
        <v>0</v>
      </c>
      <c r="AP96" s="2672">
        <f t="shared" si="20"/>
        <v>0</v>
      </c>
    </row>
    <row r="97" spans="2:58">
      <c r="B97" s="803">
        <v>3</v>
      </c>
      <c r="C97" s="825" t="s">
        <v>1359</v>
      </c>
      <c r="D97" s="825"/>
      <c r="E97" s="825"/>
      <c r="F97" s="724"/>
      <c r="G97" s="813"/>
      <c r="H97" s="714"/>
      <c r="I97" s="715"/>
      <c r="J97" s="715"/>
      <c r="K97" s="715"/>
      <c r="L97" s="716"/>
      <c r="M97" s="826">
        <f>ROUNDDOWN(V97,1)</f>
        <v>3</v>
      </c>
      <c r="N97" s="718">
        <f t="shared" si="21"/>
        <v>0.3</v>
      </c>
      <c r="O97" s="826">
        <f>ROUNDDOWN(X97,1)</f>
        <v>0</v>
      </c>
      <c r="P97" s="719">
        <f t="shared" si="22"/>
        <v>0</v>
      </c>
      <c r="Q97" s="720">
        <f>ROUNDDOWN(Z97,1)</f>
        <v>3</v>
      </c>
      <c r="R97" s="586"/>
      <c r="S97" s="827"/>
      <c r="T97" s="586"/>
      <c r="V97" s="669">
        <f>V98*W98+V101*W101+V102*W102</f>
        <v>3</v>
      </c>
      <c r="W97" s="670">
        <f>重み!D97</f>
        <v>0.3</v>
      </c>
      <c r="X97" s="669">
        <f>X98*Y98+X101*Y101+X102*Y102</f>
        <v>0</v>
      </c>
      <c r="Y97" s="671">
        <f>SUM(Y98,Y101,Y102)</f>
        <v>0</v>
      </c>
      <c r="Z97" s="641">
        <f>IF(X97=0,V97,IF(V97=0,X97,V97*AB$6+X97*AD$6))</f>
        <v>3</v>
      </c>
      <c r="AA97" s="586"/>
      <c r="AB97" s="617">
        <f>重み!M97</f>
        <v>0.3</v>
      </c>
      <c r="AC97" s="601"/>
      <c r="AD97" s="672">
        <f>SUM(AD98,AD101,AD102)</f>
        <v>0</v>
      </c>
      <c r="AF97" s="2643">
        <v>3</v>
      </c>
      <c r="AG97" s="2643"/>
      <c r="AH97" s="2643"/>
      <c r="AI97" s="2643"/>
      <c r="AJ97" s="2643"/>
      <c r="AK97" s="2643">
        <v>3</v>
      </c>
      <c r="AL97" s="2643"/>
      <c r="AM97" s="2643"/>
      <c r="AN97" s="2643"/>
      <c r="AO97" s="2643"/>
      <c r="AP97" s="2640">
        <f t="shared" si="20"/>
        <v>3</v>
      </c>
      <c r="AQ97" s="921">
        <f>N97</f>
        <v>0.3</v>
      </c>
      <c r="AR97" s="720"/>
      <c r="AS97" s="2614"/>
      <c r="AT97" s="2639">
        <f>SUMPRODUCT($AW$7:$BF$7,AF97:AO97)/AV97</f>
        <v>3</v>
      </c>
      <c r="AV97" s="2638">
        <f>SUMPRODUCT($AW$7:$BF$7,AW97:BF97)</f>
        <v>1</v>
      </c>
      <c r="AW97" s="2624">
        <f t="shared" ref="AW97:BF97" si="27">IF(AF97&gt;0,1,0)</f>
        <v>1</v>
      </c>
      <c r="AX97" s="2624">
        <f t="shared" si="27"/>
        <v>0</v>
      </c>
      <c r="AY97" s="2624">
        <f t="shared" si="27"/>
        <v>0</v>
      </c>
      <c r="AZ97" s="2624">
        <f t="shared" si="27"/>
        <v>0</v>
      </c>
      <c r="BA97" s="2624">
        <f t="shared" si="27"/>
        <v>0</v>
      </c>
      <c r="BB97" s="2624">
        <f t="shared" si="27"/>
        <v>1</v>
      </c>
      <c r="BC97" s="2624">
        <f t="shared" si="27"/>
        <v>0</v>
      </c>
      <c r="BD97" s="2624">
        <f t="shared" si="27"/>
        <v>0</v>
      </c>
      <c r="BE97" s="2624">
        <f t="shared" si="27"/>
        <v>0</v>
      </c>
      <c r="BF97" s="2624">
        <f t="shared" si="27"/>
        <v>0</v>
      </c>
    </row>
    <row r="98" spans="2:58" ht="14.25" thickBot="1">
      <c r="B98" s="752"/>
      <c r="C98" s="674">
        <v>3.1</v>
      </c>
      <c r="D98" s="722" t="s">
        <v>1360</v>
      </c>
      <c r="E98" s="675"/>
      <c r="F98" s="724"/>
      <c r="G98" s="678">
        <v>5</v>
      </c>
      <c r="H98" s="662"/>
      <c r="I98" s="663"/>
      <c r="J98" s="663"/>
      <c r="K98" s="663"/>
      <c r="L98" s="664"/>
      <c r="M98" s="753">
        <f>ROUNDDOWN(V98,1)</f>
        <v>3</v>
      </c>
      <c r="N98" s="666">
        <f t="shared" si="21"/>
        <v>0.3</v>
      </c>
      <c r="O98" s="754">
        <f>ROUNDDOWN(X98,1)</f>
        <v>0</v>
      </c>
      <c r="P98" s="667">
        <f t="shared" si="22"/>
        <v>0</v>
      </c>
      <c r="Q98" s="668"/>
      <c r="R98" s="586"/>
      <c r="S98" s="805"/>
      <c r="T98" s="586"/>
      <c r="V98" s="669">
        <f>SUMPRODUCT(V99:V100,W99:W100)</f>
        <v>3</v>
      </c>
      <c r="W98" s="670">
        <f>重み!D98</f>
        <v>0.3</v>
      </c>
      <c r="X98" s="669">
        <f>SUMPRODUCT(X99:X100,Y99:Y100)</f>
        <v>0</v>
      </c>
      <c r="Y98" s="670">
        <f>重み!E98</f>
        <v>0</v>
      </c>
      <c r="Z98" s="641"/>
      <c r="AA98" s="586"/>
      <c r="AB98" s="617">
        <f>重み!M98</f>
        <v>0.3</v>
      </c>
      <c r="AC98" s="601"/>
      <c r="AD98" s="617">
        <f>重み!N98</f>
        <v>0</v>
      </c>
    </row>
    <row r="99" spans="2:58">
      <c r="B99" s="752"/>
      <c r="C99" s="728"/>
      <c r="D99" s="687">
        <v>1</v>
      </c>
      <c r="E99" s="676" t="s">
        <v>1361</v>
      </c>
      <c r="F99" s="729"/>
      <c r="G99" s="678"/>
      <c r="H99" s="2844"/>
      <c r="I99" s="2845"/>
      <c r="J99" s="2845"/>
      <c r="K99" s="2845"/>
      <c r="L99" s="2846"/>
      <c r="M99" s="691">
        <f>ROUNDDOWN(S99,1)</f>
        <v>3</v>
      </c>
      <c r="N99" s="692">
        <f t="shared" si="21"/>
        <v>0.6</v>
      </c>
      <c r="O99" s="691">
        <f>ROUNDDOWN(T99,1)</f>
        <v>3</v>
      </c>
      <c r="P99" s="692">
        <f t="shared" si="22"/>
        <v>0</v>
      </c>
      <c r="Q99" s="668"/>
      <c r="R99" s="586"/>
      <c r="S99" s="817">
        <f>IF(採点Q2!F338="対象外",0,採点Q2!F338)</f>
        <v>3</v>
      </c>
      <c r="T99" s="694">
        <f>採点Q2!K338</f>
        <v>3</v>
      </c>
      <c r="V99" s="695">
        <f>M99</f>
        <v>3</v>
      </c>
      <c r="W99" s="670">
        <f>重み!D99</f>
        <v>0.6</v>
      </c>
      <c r="X99" s="695">
        <f>O99</f>
        <v>3</v>
      </c>
      <c r="Y99" s="670">
        <f>重み!E99</f>
        <v>0</v>
      </c>
      <c r="Z99" s="641"/>
      <c r="AA99" s="586"/>
      <c r="AB99" s="617">
        <f>重み!M99</f>
        <v>0.6</v>
      </c>
      <c r="AC99" s="601"/>
      <c r="AD99" s="617">
        <f>重み!N99</f>
        <v>0</v>
      </c>
    </row>
    <row r="100" spans="2:58">
      <c r="B100" s="752"/>
      <c r="C100" s="728"/>
      <c r="D100" s="828">
        <v>2</v>
      </c>
      <c r="E100" s="675" t="s">
        <v>1362</v>
      </c>
      <c r="F100" s="724"/>
      <c r="G100" s="678"/>
      <c r="H100" s="2844"/>
      <c r="I100" s="2845"/>
      <c r="J100" s="2845"/>
      <c r="K100" s="2845"/>
      <c r="L100" s="2846"/>
      <c r="M100" s="706">
        <f>ROUNDDOWN(S100,1)</f>
        <v>3</v>
      </c>
      <c r="N100" s="692">
        <f t="shared" si="21"/>
        <v>0.4</v>
      </c>
      <c r="O100" s="706">
        <f>ROUNDDOWN(T100,1)</f>
        <v>3</v>
      </c>
      <c r="P100" s="692">
        <f t="shared" si="22"/>
        <v>0</v>
      </c>
      <c r="Q100" s="668"/>
      <c r="R100" s="586"/>
      <c r="S100" s="817">
        <f>IF(採点Q2!F347="対象外",0,採点Q2!F347)</f>
        <v>3</v>
      </c>
      <c r="T100" s="708">
        <f>採点Q2!K347</f>
        <v>3</v>
      </c>
      <c r="V100" s="695">
        <f>M100</f>
        <v>3</v>
      </c>
      <c r="W100" s="670">
        <f>重み!D100</f>
        <v>0.4</v>
      </c>
      <c r="X100" s="695">
        <f>O100</f>
        <v>3</v>
      </c>
      <c r="Y100" s="670">
        <f>重み!E100</f>
        <v>0</v>
      </c>
      <c r="Z100" s="641"/>
      <c r="AA100" s="586"/>
      <c r="AB100" s="617">
        <f>重み!M100</f>
        <v>0.4</v>
      </c>
      <c r="AC100" s="601"/>
      <c r="AD100" s="617">
        <f>重み!N100</f>
        <v>0</v>
      </c>
    </row>
    <row r="101" spans="2:58" ht="14.25" thickBot="1">
      <c r="B101" s="752"/>
      <c r="C101" s="710">
        <v>3.2</v>
      </c>
      <c r="D101" s="829" t="s">
        <v>1363</v>
      </c>
      <c r="E101" s="676"/>
      <c r="F101" s="729"/>
      <c r="G101" s="678">
        <v>5</v>
      </c>
      <c r="H101" s="2844"/>
      <c r="I101" s="2845"/>
      <c r="J101" s="2845"/>
      <c r="K101" s="2845"/>
      <c r="L101" s="2846"/>
      <c r="M101" s="711">
        <f>ROUNDDOWN(S101,1)</f>
        <v>3</v>
      </c>
      <c r="N101" s="692">
        <f t="shared" si="21"/>
        <v>0.3</v>
      </c>
      <c r="O101" s="711">
        <f>ROUNDDOWN(T101,1)</f>
        <v>3</v>
      </c>
      <c r="P101" s="692">
        <f t="shared" si="22"/>
        <v>0</v>
      </c>
      <c r="Q101" s="668"/>
      <c r="R101" s="586"/>
      <c r="S101" s="817">
        <f>IF(採点Q2!F358="対象外",0,採点Q2!F358)</f>
        <v>3</v>
      </c>
      <c r="T101" s="701">
        <f>採点Q2!M358</f>
        <v>3</v>
      </c>
      <c r="V101" s="695">
        <f>M101</f>
        <v>3</v>
      </c>
      <c r="W101" s="670">
        <f>重み!D101</f>
        <v>0.3</v>
      </c>
      <c r="X101" s="695">
        <f>O101</f>
        <v>3</v>
      </c>
      <c r="Y101" s="670">
        <f>重み!E101</f>
        <v>0</v>
      </c>
      <c r="Z101" s="641"/>
      <c r="AA101" s="586"/>
      <c r="AB101" s="617">
        <f>重み!M101</f>
        <v>0.3</v>
      </c>
      <c r="AC101" s="601"/>
      <c r="AD101" s="617">
        <f>重み!N101</f>
        <v>0</v>
      </c>
    </row>
    <row r="102" spans="2:58" ht="14.25" thickBot="1">
      <c r="B102" s="752"/>
      <c r="C102" s="702">
        <v>3.3</v>
      </c>
      <c r="D102" s="722" t="s">
        <v>1364</v>
      </c>
      <c r="E102" s="675"/>
      <c r="F102" s="724"/>
      <c r="G102" s="678">
        <v>5</v>
      </c>
      <c r="H102" s="662"/>
      <c r="I102" s="663"/>
      <c r="J102" s="663"/>
      <c r="K102" s="663"/>
      <c r="L102" s="664"/>
      <c r="M102" s="753">
        <f>ROUNDDOWN(V102,1)</f>
        <v>3</v>
      </c>
      <c r="N102" s="666">
        <f t="shared" si="21"/>
        <v>0.4</v>
      </c>
      <c r="O102" s="754">
        <f>ROUNDDOWN(X102,1)</f>
        <v>0</v>
      </c>
      <c r="P102" s="667">
        <f t="shared" si="22"/>
        <v>0</v>
      </c>
      <c r="Q102" s="668"/>
      <c r="R102" s="586"/>
      <c r="S102" s="808"/>
      <c r="T102" s="586"/>
      <c r="V102" s="669">
        <f>SUMPRODUCT(V103:V108,W103:W108)</f>
        <v>3.0000000000000004</v>
      </c>
      <c r="W102" s="670">
        <f>重み!D102</f>
        <v>0.4</v>
      </c>
      <c r="X102" s="669">
        <f>SUMPRODUCT(X103:X108,Y103:Y108)</f>
        <v>0</v>
      </c>
      <c r="Y102" s="670">
        <f>重み!E102</f>
        <v>0</v>
      </c>
      <c r="Z102" s="641"/>
      <c r="AA102" s="586"/>
      <c r="AB102" s="617">
        <f>重み!M102</f>
        <v>0.4</v>
      </c>
      <c r="AC102" s="601"/>
      <c r="AD102" s="617">
        <f>重み!N102</f>
        <v>0</v>
      </c>
    </row>
    <row r="103" spans="2:58">
      <c r="B103" s="752"/>
      <c r="C103" s="728"/>
      <c r="D103" s="687">
        <v>1</v>
      </c>
      <c r="E103" s="676" t="s">
        <v>2083</v>
      </c>
      <c r="F103" s="729"/>
      <c r="G103" s="678"/>
      <c r="H103" s="2844"/>
      <c r="I103" s="2845"/>
      <c r="J103" s="2845"/>
      <c r="K103" s="2845"/>
      <c r="L103" s="2846"/>
      <c r="M103" s="691">
        <f t="shared" ref="M103:M108" si="28">ROUNDDOWN(S103,1)</f>
        <v>3</v>
      </c>
      <c r="N103" s="806">
        <f t="shared" si="21"/>
        <v>0.2</v>
      </c>
      <c r="O103" s="807">
        <f t="shared" ref="O103:O108" si="29">ROUNDDOWN(T103,1)</f>
        <v>0</v>
      </c>
      <c r="P103" s="667">
        <f t="shared" si="22"/>
        <v>0</v>
      </c>
      <c r="Q103" s="668"/>
      <c r="R103" s="586"/>
      <c r="S103" s="768">
        <f>IF(採点Q2!F368="対象外",0,採点Q2!F368)</f>
        <v>3</v>
      </c>
      <c r="T103" s="586"/>
      <c r="V103" s="695">
        <f t="shared" ref="V103:V108" si="30">M103</f>
        <v>3</v>
      </c>
      <c r="W103" s="670">
        <f>重み!D103</f>
        <v>0.2</v>
      </c>
      <c r="X103" s="742"/>
      <c r="Y103" s="670">
        <f>重み!E103</f>
        <v>0</v>
      </c>
      <c r="Z103" s="641"/>
      <c r="AA103" s="586"/>
      <c r="AB103" s="617">
        <f>重み!M103</f>
        <v>0.2</v>
      </c>
      <c r="AC103" s="601"/>
      <c r="AD103" s="617">
        <f>重み!N103</f>
        <v>0</v>
      </c>
    </row>
    <row r="104" spans="2:58">
      <c r="B104" s="752"/>
      <c r="C104" s="728"/>
      <c r="D104" s="828">
        <v>2</v>
      </c>
      <c r="E104" s="675" t="s">
        <v>1365</v>
      </c>
      <c r="F104" s="724"/>
      <c r="G104" s="678"/>
      <c r="H104" s="2844"/>
      <c r="I104" s="2845"/>
      <c r="J104" s="2845"/>
      <c r="K104" s="2845"/>
      <c r="L104" s="2846"/>
      <c r="M104" s="706">
        <f t="shared" si="28"/>
        <v>3</v>
      </c>
      <c r="N104" s="806">
        <f t="shared" si="21"/>
        <v>0.2</v>
      </c>
      <c r="O104" s="807">
        <f t="shared" si="29"/>
        <v>0</v>
      </c>
      <c r="P104" s="667">
        <f t="shared" si="22"/>
        <v>0</v>
      </c>
      <c r="Q104" s="668"/>
      <c r="R104" s="586"/>
      <c r="S104" s="802">
        <f>IF(採点Q2!K368="対象外",0,採点Q2!K368)</f>
        <v>3</v>
      </c>
      <c r="T104" s="586"/>
      <c r="V104" s="695">
        <f t="shared" si="30"/>
        <v>3</v>
      </c>
      <c r="W104" s="670">
        <f>重み!D104</f>
        <v>0.2</v>
      </c>
      <c r="X104" s="742"/>
      <c r="Y104" s="670">
        <f>重み!E104</f>
        <v>0</v>
      </c>
      <c r="Z104" s="641"/>
      <c r="AA104" s="586"/>
      <c r="AB104" s="617">
        <f>重み!M104</f>
        <v>0.2</v>
      </c>
      <c r="AC104" s="601"/>
      <c r="AD104" s="617">
        <f>重み!N104</f>
        <v>0</v>
      </c>
    </row>
    <row r="105" spans="2:58">
      <c r="B105" s="752"/>
      <c r="C105" s="728"/>
      <c r="D105" s="687">
        <v>3</v>
      </c>
      <c r="E105" s="676" t="s">
        <v>1366</v>
      </c>
      <c r="F105" s="729"/>
      <c r="G105" s="678"/>
      <c r="H105" s="2844"/>
      <c r="I105" s="2845"/>
      <c r="J105" s="2845"/>
      <c r="K105" s="2845"/>
      <c r="L105" s="2846"/>
      <c r="M105" s="706">
        <f t="shared" si="28"/>
        <v>3</v>
      </c>
      <c r="N105" s="806">
        <f t="shared" si="21"/>
        <v>0.1</v>
      </c>
      <c r="O105" s="807">
        <f t="shared" si="29"/>
        <v>0</v>
      </c>
      <c r="P105" s="667">
        <f t="shared" si="22"/>
        <v>0</v>
      </c>
      <c r="Q105" s="668"/>
      <c r="R105" s="586"/>
      <c r="S105" s="802">
        <f>IF(採点Q2!F377="対象外",0,採点Q2!F377)</f>
        <v>3</v>
      </c>
      <c r="T105" s="586"/>
      <c r="V105" s="695">
        <f t="shared" si="30"/>
        <v>3</v>
      </c>
      <c r="W105" s="670">
        <f>重み!D105</f>
        <v>0.1</v>
      </c>
      <c r="X105" s="742"/>
      <c r="Y105" s="670">
        <f>重み!E105</f>
        <v>0</v>
      </c>
      <c r="Z105" s="641"/>
      <c r="AA105" s="586"/>
      <c r="AB105" s="617">
        <f>重み!M105</f>
        <v>0.1</v>
      </c>
      <c r="AC105" s="601"/>
      <c r="AD105" s="617">
        <f>重み!N105</f>
        <v>0</v>
      </c>
    </row>
    <row r="106" spans="2:58">
      <c r="B106" s="752"/>
      <c r="C106" s="728"/>
      <c r="D106" s="828">
        <v>4</v>
      </c>
      <c r="E106" s="675" t="s">
        <v>1367</v>
      </c>
      <c r="F106" s="724"/>
      <c r="G106" s="678"/>
      <c r="H106" s="2844"/>
      <c r="I106" s="2845"/>
      <c r="J106" s="2845"/>
      <c r="K106" s="2845"/>
      <c r="L106" s="2846"/>
      <c r="M106" s="706">
        <f t="shared" si="28"/>
        <v>3</v>
      </c>
      <c r="N106" s="806">
        <f t="shared" si="21"/>
        <v>0.1</v>
      </c>
      <c r="O106" s="807">
        <f t="shared" si="29"/>
        <v>0</v>
      </c>
      <c r="P106" s="667">
        <f t="shared" si="22"/>
        <v>0</v>
      </c>
      <c r="Q106" s="668"/>
      <c r="R106" s="586"/>
      <c r="S106" s="802">
        <f>IF(採点Q2!K377="対象外",0,採点Q2!K377)</f>
        <v>3</v>
      </c>
      <c r="T106" s="586"/>
      <c r="V106" s="695">
        <f t="shared" si="30"/>
        <v>3</v>
      </c>
      <c r="W106" s="670">
        <f>重み!D106</f>
        <v>0.1</v>
      </c>
      <c r="X106" s="742"/>
      <c r="Y106" s="670">
        <f>重み!E106</f>
        <v>0</v>
      </c>
      <c r="Z106" s="641"/>
      <c r="AA106" s="586"/>
      <c r="AB106" s="617">
        <f>重み!M106</f>
        <v>0.1</v>
      </c>
      <c r="AC106" s="601"/>
      <c r="AD106" s="617">
        <f>重み!N106</f>
        <v>0</v>
      </c>
    </row>
    <row r="107" spans="2:58">
      <c r="B107" s="752"/>
      <c r="C107" s="728"/>
      <c r="D107" s="687">
        <v>5</v>
      </c>
      <c r="E107" s="676" t="s">
        <v>1368</v>
      </c>
      <c r="F107" s="729"/>
      <c r="G107" s="678"/>
      <c r="H107" s="2844"/>
      <c r="I107" s="2845"/>
      <c r="J107" s="2845"/>
      <c r="K107" s="2845"/>
      <c r="L107" s="2846"/>
      <c r="M107" s="706">
        <f t="shared" si="28"/>
        <v>3</v>
      </c>
      <c r="N107" s="806">
        <f t="shared" ref="N107:N142" si="31">W107</f>
        <v>0.2</v>
      </c>
      <c r="O107" s="807">
        <f t="shared" si="29"/>
        <v>0</v>
      </c>
      <c r="P107" s="667">
        <f t="shared" ref="P107:P142" si="32">Y107</f>
        <v>0</v>
      </c>
      <c r="Q107" s="668"/>
      <c r="R107" s="586"/>
      <c r="S107" s="802">
        <f>IF(採点Q2!F386="対象外",0,採点Q2!F386)</f>
        <v>3</v>
      </c>
      <c r="T107" s="586"/>
      <c r="V107" s="695">
        <f t="shared" si="30"/>
        <v>3</v>
      </c>
      <c r="W107" s="670">
        <f>重み!D107</f>
        <v>0.2</v>
      </c>
      <c r="X107" s="742"/>
      <c r="Y107" s="670">
        <f>重み!E107</f>
        <v>0</v>
      </c>
      <c r="Z107" s="641"/>
      <c r="AA107" s="586"/>
      <c r="AB107" s="617">
        <f>重み!M107</f>
        <v>0.2</v>
      </c>
      <c r="AC107" s="601"/>
      <c r="AD107" s="617">
        <f>重み!N107</f>
        <v>0</v>
      </c>
    </row>
    <row r="108" spans="2:58" ht="14.25" thickBot="1">
      <c r="B108" s="770"/>
      <c r="C108" s="830"/>
      <c r="D108" s="831">
        <v>6</v>
      </c>
      <c r="E108" s="772" t="s">
        <v>1369</v>
      </c>
      <c r="F108" s="773"/>
      <c r="G108" s="678"/>
      <c r="H108" s="2844"/>
      <c r="I108" s="2845"/>
      <c r="J108" s="2845"/>
      <c r="K108" s="2845"/>
      <c r="L108" s="2846"/>
      <c r="M108" s="699">
        <f t="shared" si="28"/>
        <v>3</v>
      </c>
      <c r="N108" s="832">
        <f t="shared" si="31"/>
        <v>0.2</v>
      </c>
      <c r="O108" s="833">
        <f t="shared" si="29"/>
        <v>0</v>
      </c>
      <c r="P108" s="834">
        <f t="shared" si="32"/>
        <v>0</v>
      </c>
      <c r="Q108" s="775"/>
      <c r="R108" s="586"/>
      <c r="S108" s="776">
        <f>IF(採点Q2!K386="対象外",0,採点Q2!K386)</f>
        <v>3</v>
      </c>
      <c r="T108" s="586"/>
      <c r="V108" s="695">
        <f t="shared" si="30"/>
        <v>3</v>
      </c>
      <c r="W108" s="670">
        <f>重み!D108</f>
        <v>0.2</v>
      </c>
      <c r="X108" s="742"/>
      <c r="Y108" s="670">
        <f>重み!E108</f>
        <v>0</v>
      </c>
      <c r="Z108" s="641"/>
      <c r="AA108" s="586"/>
      <c r="AB108" s="617">
        <f>重み!M108</f>
        <v>0.2</v>
      </c>
      <c r="AC108" s="601"/>
      <c r="AD108" s="617">
        <f>重み!N108</f>
        <v>0</v>
      </c>
    </row>
    <row r="109" spans="2:58" ht="15.75" thickBot="1">
      <c r="B109" s="777" t="s">
        <v>2084</v>
      </c>
      <c r="C109" s="835" t="s">
        <v>2085</v>
      </c>
      <c r="D109" s="835"/>
      <c r="E109" s="835"/>
      <c r="F109" s="836"/>
      <c r="G109" s="837"/>
      <c r="H109" s="782"/>
      <c r="I109" s="783"/>
      <c r="J109" s="783"/>
      <c r="K109" s="783"/>
      <c r="L109" s="784"/>
      <c r="M109" s="838">
        <f>ROUNDDOWN(V109,1)</f>
        <v>0</v>
      </c>
      <c r="N109" s="786">
        <f t="shared" si="31"/>
        <v>0.3</v>
      </c>
      <c r="O109" s="787">
        <f>ROUNDDOWN(X109,1)</f>
        <v>0</v>
      </c>
      <c r="P109" s="788">
        <f t="shared" si="32"/>
        <v>0</v>
      </c>
      <c r="Q109" s="789">
        <f>ROUNDDOWN(Z109,1)</f>
        <v>3</v>
      </c>
      <c r="R109" s="586"/>
      <c r="S109" s="721"/>
      <c r="T109" s="586"/>
      <c r="V109" s="742"/>
      <c r="W109" s="654">
        <f>重み!D109</f>
        <v>0.3</v>
      </c>
      <c r="X109" s="742"/>
      <c r="Y109" s="654"/>
      <c r="Z109" s="641">
        <f>Z110*W110+Z111*W111+Z112*W112</f>
        <v>3</v>
      </c>
      <c r="AA109" s="586"/>
      <c r="AB109" s="617">
        <f>重み!M109</f>
        <v>0.3</v>
      </c>
      <c r="AC109" s="601"/>
      <c r="AD109" s="617">
        <f>重み!N109</f>
        <v>0</v>
      </c>
      <c r="AF109" s="2670"/>
      <c r="AG109" s="2656"/>
      <c r="AH109" s="2656"/>
      <c r="AI109" s="2656"/>
      <c r="AJ109" s="2656"/>
      <c r="AK109" s="2656"/>
      <c r="AL109" s="2656"/>
      <c r="AM109" s="2656"/>
      <c r="AN109" s="2656"/>
      <c r="AO109" s="2657"/>
      <c r="AP109" s="2658"/>
      <c r="AQ109" s="2659">
        <f>N109</f>
        <v>0.3</v>
      </c>
      <c r="AR109" s="789">
        <f t="shared" ref="AR109" si="33">ROUNDDOWN(AT109,1)</f>
        <v>3</v>
      </c>
      <c r="AT109" s="2639">
        <f>SUMPRODUCT(AQ110:AQ114,AT110:AT114)</f>
        <v>3</v>
      </c>
    </row>
    <row r="110" spans="2:58">
      <c r="B110" s="656">
        <v>1</v>
      </c>
      <c r="C110" s="791" t="s">
        <v>1370</v>
      </c>
      <c r="D110" s="703"/>
      <c r="E110" s="703"/>
      <c r="F110" s="660"/>
      <c r="G110" s="678">
        <v>5</v>
      </c>
      <c r="H110" s="2869"/>
      <c r="I110" s="2870"/>
      <c r="J110" s="2870"/>
      <c r="K110" s="2870"/>
      <c r="L110" s="2871"/>
      <c r="M110" s="839">
        <f>ROUNDDOWN(S110,1)</f>
        <v>3</v>
      </c>
      <c r="N110" s="806">
        <f t="shared" si="31"/>
        <v>0.3</v>
      </c>
      <c r="O110" s="804">
        <f>ROUNDDOWN(T110,1)</f>
        <v>0</v>
      </c>
      <c r="P110" s="667">
        <f t="shared" si="32"/>
        <v>0</v>
      </c>
      <c r="Q110" s="668">
        <f>ROUNDDOWN(Z110,1)</f>
        <v>3</v>
      </c>
      <c r="R110" s="586"/>
      <c r="S110" s="768">
        <f>IF(採点Q3!F7="対象外",0,採点Q3!F7)</f>
        <v>3</v>
      </c>
      <c r="T110" s="586"/>
      <c r="V110" s="695">
        <f>M110</f>
        <v>3</v>
      </c>
      <c r="W110" s="670">
        <f>重み!D110</f>
        <v>0.3</v>
      </c>
      <c r="X110" s="742"/>
      <c r="Y110" s="670">
        <f>重み!E110</f>
        <v>0</v>
      </c>
      <c r="Z110" s="641">
        <f>IF(X110=0,V110,IF(V110=0,X110,V110*AB$6+X110*AD$6))</f>
        <v>3</v>
      </c>
      <c r="AA110" s="586"/>
      <c r="AB110" s="617">
        <f>重み!M110</f>
        <v>0.3</v>
      </c>
      <c r="AC110" s="601"/>
      <c r="AD110" s="617">
        <f>重み!N110</f>
        <v>0</v>
      </c>
      <c r="AF110" s="2643">
        <v>3</v>
      </c>
      <c r="AG110" s="2643"/>
      <c r="AH110" s="2643"/>
      <c r="AI110" s="2643"/>
      <c r="AJ110" s="2643"/>
      <c r="AK110" s="2643">
        <v>3</v>
      </c>
      <c r="AL110" s="2643"/>
      <c r="AM110" s="2643"/>
      <c r="AN110" s="2643"/>
      <c r="AO110" s="2643"/>
      <c r="AP110" s="2640">
        <f t="shared" ref="AP110:AP112" si="34">ROUNDDOWN(AT110,1)</f>
        <v>3</v>
      </c>
      <c r="AQ110" s="921">
        <f>N110</f>
        <v>0.3</v>
      </c>
      <c r="AR110" s="720"/>
      <c r="AS110" s="2614"/>
      <c r="AT110" s="2639">
        <f>SUMPRODUCT($AW$7:$BF$7,AF110:AO110)/AV110</f>
        <v>3</v>
      </c>
      <c r="AV110" s="2638">
        <f>SUMPRODUCT($AW$7:$BF$7,AW110:BF110)</f>
        <v>1</v>
      </c>
      <c r="AW110" s="2624">
        <f t="shared" ref="AW110:BF112" si="35">IF(AF110&gt;0,1,0)</f>
        <v>1</v>
      </c>
      <c r="AX110" s="2624">
        <f t="shared" si="35"/>
        <v>0</v>
      </c>
      <c r="AY110" s="2624">
        <f t="shared" si="35"/>
        <v>0</v>
      </c>
      <c r="AZ110" s="2624">
        <f t="shared" si="35"/>
        <v>0</v>
      </c>
      <c r="BA110" s="2624">
        <f t="shared" si="35"/>
        <v>0</v>
      </c>
      <c r="BB110" s="2624">
        <f t="shared" si="35"/>
        <v>1</v>
      </c>
      <c r="BC110" s="2624">
        <f t="shared" si="35"/>
        <v>0</v>
      </c>
      <c r="BD110" s="2624">
        <f t="shared" si="35"/>
        <v>0</v>
      </c>
      <c r="BE110" s="2624">
        <f t="shared" si="35"/>
        <v>0</v>
      </c>
      <c r="BF110" s="2624">
        <f t="shared" si="35"/>
        <v>0</v>
      </c>
    </row>
    <row r="111" spans="2:58" ht="14.25" thickBot="1">
      <c r="B111" s="840">
        <v>2</v>
      </c>
      <c r="C111" s="841" t="s">
        <v>1371</v>
      </c>
      <c r="D111" s="676"/>
      <c r="E111" s="676"/>
      <c r="F111" s="729"/>
      <c r="G111" s="678">
        <v>5</v>
      </c>
      <c r="H111" s="2844"/>
      <c r="I111" s="2845"/>
      <c r="J111" s="2845"/>
      <c r="K111" s="2845"/>
      <c r="L111" s="2846"/>
      <c r="M111" s="842">
        <f>ROUNDDOWN(S111,1)</f>
        <v>3</v>
      </c>
      <c r="N111" s="843">
        <f t="shared" si="31"/>
        <v>0.4</v>
      </c>
      <c r="O111" s="844">
        <f>ROUNDDOWN(T111,1)</f>
        <v>0</v>
      </c>
      <c r="P111" s="719">
        <f t="shared" si="32"/>
        <v>0</v>
      </c>
      <c r="Q111" s="720">
        <f>ROUNDDOWN(Z111,1)</f>
        <v>3</v>
      </c>
      <c r="R111" s="586"/>
      <c r="S111" s="776">
        <f>IF(採点Q3!F32="対象外",0,採点Q3!F32)</f>
        <v>3</v>
      </c>
      <c r="T111" s="586"/>
      <c r="V111" s="695">
        <f>M111</f>
        <v>3</v>
      </c>
      <c r="W111" s="670">
        <f>重み!D111</f>
        <v>0.4</v>
      </c>
      <c r="X111" s="742"/>
      <c r="Y111" s="670">
        <f>重み!E111</f>
        <v>0</v>
      </c>
      <c r="Z111" s="641">
        <f>IF(X111=0,V111,IF(V111=0,X111,V111*AB$6+X111*AD$6))</f>
        <v>3</v>
      </c>
      <c r="AA111" s="586"/>
      <c r="AB111" s="617">
        <f>重み!M111</f>
        <v>0.4</v>
      </c>
      <c r="AC111" s="601"/>
      <c r="AD111" s="617">
        <f>重み!N111</f>
        <v>0</v>
      </c>
      <c r="AF111" s="2643">
        <v>3</v>
      </c>
      <c r="AG111" s="2643"/>
      <c r="AH111" s="2643"/>
      <c r="AI111" s="2643"/>
      <c r="AJ111" s="2643"/>
      <c r="AK111" s="2643">
        <v>3</v>
      </c>
      <c r="AL111" s="2643"/>
      <c r="AM111" s="2643"/>
      <c r="AN111" s="2643"/>
      <c r="AO111" s="2643"/>
      <c r="AP111" s="2640">
        <f t="shared" si="34"/>
        <v>3</v>
      </c>
      <c r="AQ111" s="921">
        <f>N111</f>
        <v>0.4</v>
      </c>
      <c r="AR111" s="720"/>
      <c r="AS111" s="2614"/>
      <c r="AT111" s="2639">
        <f>SUMPRODUCT($AW$7:$BF$7,AF111:AO111)/AV111</f>
        <v>3</v>
      </c>
      <c r="AV111" s="2638">
        <f>SUMPRODUCT($AW$7:$BF$7,AW111:BF111)</f>
        <v>1</v>
      </c>
      <c r="AW111" s="2624">
        <f t="shared" si="35"/>
        <v>1</v>
      </c>
      <c r="AX111" s="2624">
        <f t="shared" si="35"/>
        <v>0</v>
      </c>
      <c r="AY111" s="2624">
        <f t="shared" si="35"/>
        <v>0</v>
      </c>
      <c r="AZ111" s="2624">
        <f t="shared" si="35"/>
        <v>0</v>
      </c>
      <c r="BA111" s="2624">
        <f t="shared" si="35"/>
        <v>0</v>
      </c>
      <c r="BB111" s="2624">
        <f t="shared" si="35"/>
        <v>1</v>
      </c>
      <c r="BC111" s="2624">
        <f t="shared" si="35"/>
        <v>0</v>
      </c>
      <c r="BD111" s="2624">
        <f t="shared" si="35"/>
        <v>0</v>
      </c>
      <c r="BE111" s="2624">
        <f t="shared" si="35"/>
        <v>0</v>
      </c>
      <c r="BF111" s="2624">
        <f t="shared" si="35"/>
        <v>0</v>
      </c>
    </row>
    <row r="112" spans="2:58" ht="14.25" thickBot="1">
      <c r="B112" s="803">
        <v>3</v>
      </c>
      <c r="C112" s="845" t="s">
        <v>1372</v>
      </c>
      <c r="D112" s="688"/>
      <c r="E112" s="688"/>
      <c r="F112" s="766"/>
      <c r="G112" s="698">
        <v>5</v>
      </c>
      <c r="H112" s="714"/>
      <c r="I112" s="715"/>
      <c r="J112" s="715"/>
      <c r="K112" s="715"/>
      <c r="L112" s="716"/>
      <c r="M112" s="753">
        <f>ROUNDDOWN(V112,1)</f>
        <v>3</v>
      </c>
      <c r="N112" s="843">
        <f t="shared" si="31"/>
        <v>0.3</v>
      </c>
      <c r="O112" s="717">
        <f>ROUNDDOWN(X112,1)</f>
        <v>0</v>
      </c>
      <c r="P112" s="719">
        <f t="shared" si="32"/>
        <v>0</v>
      </c>
      <c r="Q112" s="720">
        <f>ROUNDDOWN(Z112,1)</f>
        <v>3</v>
      </c>
      <c r="R112" s="586"/>
      <c r="S112" s="808"/>
      <c r="T112" s="586"/>
      <c r="V112" s="669">
        <f>V113*W113+V114*W114</f>
        <v>3</v>
      </c>
      <c r="W112" s="670">
        <f>重み!D112</f>
        <v>0.3</v>
      </c>
      <c r="X112" s="669">
        <f>X113*Y113+X114*Y114</f>
        <v>0</v>
      </c>
      <c r="Y112" s="670">
        <f>重み!E112</f>
        <v>0</v>
      </c>
      <c r="Z112" s="641">
        <f>IF(X112=0,V112,IF(V112=0,X112,V112*AB$6+X112*AD$6))</f>
        <v>3</v>
      </c>
      <c r="AA112" s="586"/>
      <c r="AB112" s="617">
        <f>重み!M112</f>
        <v>0.3</v>
      </c>
      <c r="AC112" s="601"/>
      <c r="AD112" s="617">
        <f>重み!N112</f>
        <v>0</v>
      </c>
      <c r="AF112" s="2643">
        <v>3</v>
      </c>
      <c r="AG112" s="2643"/>
      <c r="AH112" s="2643"/>
      <c r="AI112" s="2643"/>
      <c r="AJ112" s="2643"/>
      <c r="AK112" s="2643">
        <v>3</v>
      </c>
      <c r="AL112" s="2643"/>
      <c r="AM112" s="2643"/>
      <c r="AN112" s="2643"/>
      <c r="AO112" s="2643"/>
      <c r="AP112" s="2640">
        <f t="shared" si="34"/>
        <v>3</v>
      </c>
      <c r="AQ112" s="921">
        <f>N112</f>
        <v>0.3</v>
      </c>
      <c r="AR112" s="720"/>
      <c r="AS112" s="2614"/>
      <c r="AT112" s="2639">
        <f>SUMPRODUCT($AW$7:$BF$7,AF112:AO112)/AV112</f>
        <v>3</v>
      </c>
      <c r="AV112" s="2638">
        <f>SUMPRODUCT($AW$7:$BF$7,AW112:BF112)</f>
        <v>1</v>
      </c>
      <c r="AW112" s="2624">
        <f t="shared" si="35"/>
        <v>1</v>
      </c>
      <c r="AX112" s="2624">
        <f t="shared" si="35"/>
        <v>0</v>
      </c>
      <c r="AY112" s="2624">
        <f t="shared" si="35"/>
        <v>0</v>
      </c>
      <c r="AZ112" s="2624">
        <f t="shared" si="35"/>
        <v>0</v>
      </c>
      <c r="BA112" s="2624">
        <f t="shared" si="35"/>
        <v>0</v>
      </c>
      <c r="BB112" s="2624">
        <f t="shared" si="35"/>
        <v>1</v>
      </c>
      <c r="BC112" s="2624">
        <f t="shared" si="35"/>
        <v>0</v>
      </c>
      <c r="BD112" s="2624">
        <f t="shared" si="35"/>
        <v>0</v>
      </c>
      <c r="BE112" s="2624">
        <f t="shared" si="35"/>
        <v>0</v>
      </c>
      <c r="BF112" s="2624">
        <f t="shared" si="35"/>
        <v>0</v>
      </c>
    </row>
    <row r="113" spans="2:58">
      <c r="B113" s="656"/>
      <c r="C113" s="846">
        <v>3.1</v>
      </c>
      <c r="D113" s="847" t="s">
        <v>1373</v>
      </c>
      <c r="E113" s="848"/>
      <c r="F113" s="766"/>
      <c r="G113" s="678"/>
      <c r="H113" s="2844"/>
      <c r="I113" s="2845"/>
      <c r="J113" s="2845"/>
      <c r="K113" s="2845"/>
      <c r="L113" s="2846"/>
      <c r="M113" s="839">
        <f>ROUNDDOWN(S113,1)</f>
        <v>3</v>
      </c>
      <c r="N113" s="806">
        <f t="shared" si="31"/>
        <v>0.5</v>
      </c>
      <c r="O113" s="804">
        <f>ROUNDDOWN(T113,1)</f>
        <v>0</v>
      </c>
      <c r="P113" s="667">
        <f t="shared" si="32"/>
        <v>0</v>
      </c>
      <c r="Q113" s="668"/>
      <c r="R113" s="586"/>
      <c r="S113" s="768">
        <f>IF(採点Q3!F56="対象外",0,採点Q3!F56)</f>
        <v>3</v>
      </c>
      <c r="T113" s="586"/>
      <c r="V113" s="695">
        <f>M113</f>
        <v>3</v>
      </c>
      <c r="W113" s="670">
        <f>重み!D113</f>
        <v>0.5</v>
      </c>
      <c r="X113" s="742"/>
      <c r="Y113" s="670">
        <f>重み!E113</f>
        <v>0</v>
      </c>
      <c r="Z113" s="641"/>
      <c r="AA113" s="586"/>
      <c r="AB113" s="617">
        <f>重み!M113</f>
        <v>0.5</v>
      </c>
      <c r="AC113" s="601"/>
      <c r="AD113" s="617">
        <f>重み!N113</f>
        <v>0</v>
      </c>
    </row>
    <row r="114" spans="2:58" ht="14.25" thickBot="1">
      <c r="B114" s="656"/>
      <c r="C114" s="849">
        <v>3.2</v>
      </c>
      <c r="D114" s="829" t="s">
        <v>1374</v>
      </c>
      <c r="E114" s="850"/>
      <c r="F114" s="729"/>
      <c r="G114" s="678"/>
      <c r="H114" s="2844"/>
      <c r="I114" s="2845"/>
      <c r="J114" s="2845"/>
      <c r="K114" s="2845"/>
      <c r="L114" s="2846"/>
      <c r="M114" s="711">
        <f>ROUNDDOWN(S114,1)</f>
        <v>3</v>
      </c>
      <c r="N114" s="806">
        <f t="shared" si="31"/>
        <v>0.5</v>
      </c>
      <c r="O114" s="804">
        <f>ROUNDDOWN(T114,1)</f>
        <v>0</v>
      </c>
      <c r="P114" s="851">
        <f t="shared" si="32"/>
        <v>0</v>
      </c>
      <c r="Q114" s="668"/>
      <c r="R114" s="586"/>
      <c r="S114" s="776">
        <f>IF(採点Q3!F87="対象外",0,採点Q3!F87)</f>
        <v>3</v>
      </c>
      <c r="T114" s="586"/>
      <c r="V114" s="695">
        <f>M114</f>
        <v>3</v>
      </c>
      <c r="W114" s="670">
        <f>重み!D114</f>
        <v>0.5</v>
      </c>
      <c r="X114" s="742"/>
      <c r="Y114" s="670">
        <f>重み!E114</f>
        <v>0</v>
      </c>
      <c r="Z114" s="641"/>
      <c r="AA114" s="586"/>
      <c r="AB114" s="617">
        <f>重み!M114</f>
        <v>0.5</v>
      </c>
      <c r="AC114" s="601"/>
      <c r="AD114" s="617">
        <f>重み!N114</f>
        <v>0</v>
      </c>
    </row>
    <row r="115" spans="2:58" ht="14.25" hidden="1" thickBot="1">
      <c r="B115" s="852"/>
      <c r="C115" s="853"/>
      <c r="D115" s="854"/>
      <c r="E115" s="855"/>
      <c r="F115" s="856"/>
      <c r="G115" s="857"/>
      <c r="H115" s="858"/>
      <c r="I115" s="859"/>
      <c r="J115" s="859"/>
      <c r="K115" s="859"/>
      <c r="L115" s="579"/>
      <c r="M115" s="824">
        <f>ROUNDDOWN(V115,1)</f>
        <v>0</v>
      </c>
      <c r="N115" s="860">
        <f t="shared" si="31"/>
        <v>0</v>
      </c>
      <c r="O115" s="807">
        <f>ROUNDDOWN(X115,1)</f>
        <v>0</v>
      </c>
      <c r="P115" s="861">
        <f t="shared" si="32"/>
        <v>0</v>
      </c>
      <c r="Q115" s="668"/>
      <c r="R115" s="586"/>
      <c r="S115" s="585"/>
      <c r="T115" s="586"/>
      <c r="V115" s="742"/>
      <c r="W115" s="654">
        <f>重み!D115</f>
        <v>0</v>
      </c>
      <c r="X115" s="742"/>
      <c r="Y115" s="654">
        <f>重み!E115</f>
        <v>0</v>
      </c>
      <c r="Z115" s="641"/>
      <c r="AA115" s="586"/>
      <c r="AB115" s="617">
        <f>重み!M115</f>
        <v>0</v>
      </c>
      <c r="AC115" s="601"/>
      <c r="AD115" s="617">
        <f>重み!N115</f>
        <v>0</v>
      </c>
    </row>
    <row r="116" spans="2:58" ht="16.5" thickBot="1">
      <c r="B116" s="862" t="s">
        <v>1375</v>
      </c>
      <c r="C116" s="863"/>
      <c r="D116" s="863"/>
      <c r="E116" s="863"/>
      <c r="F116" s="864"/>
      <c r="G116" s="865"/>
      <c r="H116" s="866"/>
      <c r="I116" s="867"/>
      <c r="J116" s="867"/>
      <c r="K116" s="867"/>
      <c r="L116" s="868"/>
      <c r="M116" s="869">
        <f>ROUNDDOWN(V116,1)</f>
        <v>0</v>
      </c>
      <c r="N116" s="870">
        <f t="shared" si="31"/>
        <v>0</v>
      </c>
      <c r="O116" s="871">
        <f>ROUNDDOWN(X116,1)</f>
        <v>0</v>
      </c>
      <c r="P116" s="872">
        <f t="shared" si="32"/>
        <v>0</v>
      </c>
      <c r="Q116" s="873">
        <f>ROUNDDOWN(Z116,1)</f>
        <v>3.3</v>
      </c>
      <c r="R116" s="586"/>
      <c r="S116" s="827"/>
      <c r="T116" s="586"/>
      <c r="V116" s="742"/>
      <c r="W116" s="670">
        <f>重み!D116</f>
        <v>0</v>
      </c>
      <c r="X116" s="742"/>
      <c r="Y116" s="670"/>
      <c r="Z116" s="641">
        <f>W117*Z117+W140*Z140+W159*Z159</f>
        <v>3.3140000000000001</v>
      </c>
      <c r="AA116" s="586"/>
      <c r="AB116" s="617">
        <f>重み!M116</f>
        <v>0</v>
      </c>
      <c r="AC116" s="601"/>
      <c r="AD116" s="617">
        <f>重み!N116</f>
        <v>0</v>
      </c>
      <c r="AF116" s="2619"/>
      <c r="AG116" s="2619"/>
      <c r="AH116" s="2619"/>
      <c r="AI116" s="2619"/>
      <c r="AJ116" s="2619"/>
      <c r="AK116" s="2619"/>
      <c r="AL116" s="2619"/>
      <c r="AM116" s="2619"/>
      <c r="AN116" s="2619"/>
      <c r="AO116" s="2626"/>
      <c r="AP116" s="2632"/>
      <c r="AQ116" s="2633"/>
      <c r="AR116" s="2620">
        <f t="shared" ref="AR116:AR117" si="36">ROUNDDOWN(AT116,1)</f>
        <v>3.3</v>
      </c>
      <c r="AT116" s="2639">
        <f>AQ117*AT117+AQ140*AT140+AQ159*AT159</f>
        <v>3.3</v>
      </c>
    </row>
    <row r="117" spans="2:58" ht="15.75" thickBot="1">
      <c r="B117" s="874" t="s">
        <v>1376</v>
      </c>
      <c r="C117" s="643" t="s">
        <v>1377</v>
      </c>
      <c r="D117" s="643"/>
      <c r="E117" s="643"/>
      <c r="F117" s="875"/>
      <c r="G117" s="645"/>
      <c r="H117" s="646"/>
      <c r="I117" s="647"/>
      <c r="J117" s="647"/>
      <c r="K117" s="647"/>
      <c r="L117" s="648"/>
      <c r="M117" s="876">
        <f>ROUNDDOWN(V117,1)</f>
        <v>0</v>
      </c>
      <c r="N117" s="650">
        <f t="shared" si="31"/>
        <v>0.4</v>
      </c>
      <c r="O117" s="651">
        <f>ROUNDDOWN(X117,1)</f>
        <v>0</v>
      </c>
      <c r="P117" s="652">
        <f t="shared" si="32"/>
        <v>0</v>
      </c>
      <c r="Q117" s="653">
        <f>ROUNDDOWN(Z117,1)</f>
        <v>3.7</v>
      </c>
      <c r="R117" s="586"/>
      <c r="S117" s="827"/>
      <c r="T117" s="586"/>
      <c r="V117" s="742"/>
      <c r="W117" s="654">
        <f>重み!D117</f>
        <v>0.4</v>
      </c>
      <c r="X117" s="742"/>
      <c r="Y117" s="654"/>
      <c r="Z117" s="641">
        <f>Z118*W118+Z119*W119+Z124*W124+Z133*W133</f>
        <v>3.7</v>
      </c>
      <c r="AA117" s="586"/>
      <c r="AB117" s="617">
        <f>重み!M117</f>
        <v>0.4</v>
      </c>
      <c r="AC117" s="601"/>
      <c r="AD117" s="617">
        <f>重み!N117</f>
        <v>0</v>
      </c>
      <c r="AF117" s="2621"/>
      <c r="AG117" s="2621"/>
      <c r="AH117" s="2621"/>
      <c r="AI117" s="2621"/>
      <c r="AJ117" s="2621"/>
      <c r="AK117" s="2621"/>
      <c r="AL117" s="2621"/>
      <c r="AM117" s="2621"/>
      <c r="AN117" s="2621"/>
      <c r="AO117" s="2627"/>
      <c r="AP117" s="2634"/>
      <c r="AQ117" s="2635">
        <f>N117</f>
        <v>0.4</v>
      </c>
      <c r="AR117" s="653">
        <f t="shared" si="36"/>
        <v>3.7</v>
      </c>
      <c r="AT117" s="2639">
        <f>SUMPRODUCT(AQ118:AQ139,AT118:AT139)</f>
        <v>3.7</v>
      </c>
    </row>
    <row r="118" spans="2:58" ht="14.25" thickBot="1">
      <c r="B118" s="656">
        <v>1</v>
      </c>
      <c r="C118" s="658" t="s">
        <v>2377</v>
      </c>
      <c r="D118" s="658"/>
      <c r="E118" s="658"/>
      <c r="F118" s="877"/>
      <c r="G118" s="661"/>
      <c r="H118" s="2869"/>
      <c r="I118" s="2870"/>
      <c r="J118" s="2870"/>
      <c r="K118" s="2870"/>
      <c r="L118" s="2871"/>
      <c r="M118" s="878">
        <f>ROUNDDOWN(S118,1)</f>
        <v>4</v>
      </c>
      <c r="N118" s="806">
        <f t="shared" si="31"/>
        <v>0.2</v>
      </c>
      <c r="O118" s="2488">
        <f>ROUNDDOWN(T118,1)</f>
        <v>0</v>
      </c>
      <c r="P118" s="667">
        <f t="shared" si="32"/>
        <v>0</v>
      </c>
      <c r="Q118" s="668">
        <f>ROUNDDOWN(Z118,1)</f>
        <v>4</v>
      </c>
      <c r="R118" s="586"/>
      <c r="S118" s="768">
        <f>採点LR1!F16</f>
        <v>4</v>
      </c>
      <c r="T118" s="586"/>
      <c r="V118" s="695">
        <f>M118</f>
        <v>4</v>
      </c>
      <c r="W118" s="670">
        <f>重み!D118</f>
        <v>0.2</v>
      </c>
      <c r="X118" s="742"/>
      <c r="Y118" s="670">
        <f>重み!E118</f>
        <v>0</v>
      </c>
      <c r="Z118" s="641">
        <f>IF(X118=0,V118,V118*AB$6+X118*AD$6)</f>
        <v>4</v>
      </c>
      <c r="AA118" s="586"/>
      <c r="AB118" s="617">
        <f>重み!M118</f>
        <v>0.2</v>
      </c>
      <c r="AC118" s="601"/>
      <c r="AD118" s="617">
        <f>重み!N118</f>
        <v>0</v>
      </c>
      <c r="AF118" s="2643"/>
      <c r="AG118" s="2643"/>
      <c r="AH118" s="2643"/>
      <c r="AI118" s="2643"/>
      <c r="AJ118" s="2643"/>
      <c r="AK118" s="2643"/>
      <c r="AL118" s="2643"/>
      <c r="AM118" s="2643"/>
      <c r="AN118" s="2643"/>
      <c r="AO118" s="2643"/>
      <c r="AP118" s="2640">
        <f t="shared" ref="AP118:AP133" si="37">ROUNDDOWN(AT118,1)</f>
        <v>4</v>
      </c>
      <c r="AQ118" s="921">
        <f>N118</f>
        <v>0.2</v>
      </c>
      <c r="AR118" s="720"/>
      <c r="AS118" s="2614"/>
      <c r="AT118" s="2673">
        <f>S118</f>
        <v>4</v>
      </c>
      <c r="AV118" s="2638">
        <f>SUMPRODUCT($AW$7:$BF$7,AW118:BF118)</f>
        <v>0</v>
      </c>
      <c r="AW118" s="2624">
        <f t="shared" ref="AW118:BF119" si="38">IF(AF118&gt;0,1,0)</f>
        <v>0</v>
      </c>
      <c r="AX118" s="2624">
        <f t="shared" si="38"/>
        <v>0</v>
      </c>
      <c r="AY118" s="2624">
        <f t="shared" si="38"/>
        <v>0</v>
      </c>
      <c r="AZ118" s="2624">
        <f t="shared" si="38"/>
        <v>0</v>
      </c>
      <c r="BA118" s="2624">
        <f t="shared" si="38"/>
        <v>0</v>
      </c>
      <c r="BB118" s="2624">
        <f t="shared" si="38"/>
        <v>0</v>
      </c>
      <c r="BC118" s="2624">
        <f t="shared" si="38"/>
        <v>0</v>
      </c>
      <c r="BD118" s="2624">
        <f t="shared" si="38"/>
        <v>0</v>
      </c>
      <c r="BE118" s="2624">
        <f t="shared" si="38"/>
        <v>0</v>
      </c>
      <c r="BF118" s="2624">
        <f t="shared" si="38"/>
        <v>0</v>
      </c>
    </row>
    <row r="119" spans="2:58" ht="14.25" thickBot="1">
      <c r="B119" s="879">
        <v>2</v>
      </c>
      <c r="C119" s="712" t="s">
        <v>1378</v>
      </c>
      <c r="D119" s="712"/>
      <c r="E119" s="712"/>
      <c r="F119" s="880"/>
      <c r="G119" s="678"/>
      <c r="H119" s="2844"/>
      <c r="I119" s="2845"/>
      <c r="J119" s="2845"/>
      <c r="K119" s="2845"/>
      <c r="L119" s="2846"/>
      <c r="M119" s="910">
        <f>ROUNDDOWN(V119,1)</f>
        <v>3</v>
      </c>
      <c r="N119" s="843">
        <f t="shared" si="31"/>
        <v>0.1</v>
      </c>
      <c r="O119" s="717">
        <f t="shared" ref="O119:O126" si="39">ROUNDDOWN(X119,1)</f>
        <v>0</v>
      </c>
      <c r="P119" s="719">
        <f t="shared" si="32"/>
        <v>0</v>
      </c>
      <c r="Q119" s="720">
        <f>ROUNDDOWN(Z119,1)</f>
        <v>3</v>
      </c>
      <c r="R119" s="586"/>
      <c r="S119" s="808"/>
      <c r="T119" s="586"/>
      <c r="V119" s="669">
        <f>V120*W120+V121*W121</f>
        <v>3</v>
      </c>
      <c r="W119" s="670">
        <f>重み!D119</f>
        <v>0.1</v>
      </c>
      <c r="X119" s="669">
        <f>X120*Y120+X121*Y121</f>
        <v>0</v>
      </c>
      <c r="Y119" s="670">
        <f>重み!E119</f>
        <v>0</v>
      </c>
      <c r="Z119" s="641">
        <f>IF(X119=0,V119,IF(V119=0,X119,V119*AB$6+X119*AD$6))</f>
        <v>3</v>
      </c>
      <c r="AA119" s="586"/>
      <c r="AB119" s="617">
        <f>重み!M119</f>
        <v>0.1</v>
      </c>
      <c r="AC119" s="601"/>
      <c r="AD119" s="617">
        <f>重み!N119</f>
        <v>0</v>
      </c>
      <c r="AF119" s="2643">
        <v>3</v>
      </c>
      <c r="AG119" s="2643"/>
      <c r="AH119" s="2643"/>
      <c r="AI119" s="2643"/>
      <c r="AJ119" s="2643"/>
      <c r="AK119" s="2643">
        <v>3</v>
      </c>
      <c r="AL119" s="2643"/>
      <c r="AM119" s="2643"/>
      <c r="AN119" s="2643"/>
      <c r="AO119" s="2643"/>
      <c r="AP119" s="2640">
        <f t="shared" si="37"/>
        <v>3</v>
      </c>
      <c r="AQ119" s="921">
        <f>N119</f>
        <v>0.1</v>
      </c>
      <c r="AR119" s="720"/>
      <c r="AS119" s="2614"/>
      <c r="AT119" s="2639">
        <f>SUMPRODUCT($AW$7:$BF$7,AF119:AO119)/AV119</f>
        <v>3</v>
      </c>
      <c r="AV119" s="2638">
        <f>SUMPRODUCT($AW$7:$BF$7,AW119:BF119)</f>
        <v>1</v>
      </c>
      <c r="AW119" s="2624">
        <f t="shared" si="38"/>
        <v>1</v>
      </c>
      <c r="AX119" s="2624">
        <f t="shared" si="38"/>
        <v>0</v>
      </c>
      <c r="AY119" s="2624">
        <f t="shared" si="38"/>
        <v>0</v>
      </c>
      <c r="AZ119" s="2624">
        <f t="shared" si="38"/>
        <v>0</v>
      </c>
      <c r="BA119" s="2624">
        <f t="shared" si="38"/>
        <v>0</v>
      </c>
      <c r="BB119" s="2624">
        <f t="shared" si="38"/>
        <v>1</v>
      </c>
      <c r="BC119" s="2624">
        <f t="shared" si="38"/>
        <v>0</v>
      </c>
      <c r="BD119" s="2624">
        <f t="shared" si="38"/>
        <v>0</v>
      </c>
      <c r="BE119" s="2624">
        <f t="shared" si="38"/>
        <v>0</v>
      </c>
      <c r="BF119" s="2624">
        <f t="shared" si="38"/>
        <v>0</v>
      </c>
    </row>
    <row r="120" spans="2:58" ht="14.25" hidden="1" thickBot="1">
      <c r="B120" s="883"/>
      <c r="C120" s="710"/>
      <c r="D120" s="712"/>
      <c r="E120" s="712"/>
      <c r="F120" s="880"/>
      <c r="G120" s="678"/>
      <c r="H120" s="2844"/>
      <c r="I120" s="2845"/>
      <c r="J120" s="2845"/>
      <c r="K120" s="2845"/>
      <c r="L120" s="2846"/>
      <c r="M120" s="691">
        <f t="shared" ref="M120:M126" si="40">ROUNDDOWN(S120,1)</f>
        <v>3</v>
      </c>
      <c r="N120" s="692">
        <f t="shared" ref="N120:N126" si="41">W120</f>
        <v>0</v>
      </c>
      <c r="O120" s="824">
        <f t="shared" si="39"/>
        <v>0</v>
      </c>
      <c r="P120" s="667">
        <f t="shared" ref="P120:P126" si="42">Y120</f>
        <v>0</v>
      </c>
      <c r="Q120" s="684"/>
      <c r="R120" s="586"/>
      <c r="S120" s="768">
        <f>採点LR1!F37</f>
        <v>3</v>
      </c>
      <c r="T120" s="586"/>
      <c r="V120" s="761">
        <f>M120</f>
        <v>3</v>
      </c>
      <c r="W120" s="670">
        <f>重み!D120</f>
        <v>0</v>
      </c>
      <c r="X120" s="742"/>
      <c r="Y120" s="670">
        <f>重み!E120</f>
        <v>0</v>
      </c>
      <c r="Z120" s="641"/>
      <c r="AA120" s="586"/>
      <c r="AB120" s="617">
        <f>重み!M120</f>
        <v>0</v>
      </c>
      <c r="AC120" s="601"/>
      <c r="AD120" s="617">
        <f>重み!N120</f>
        <v>0</v>
      </c>
      <c r="AP120" s="2672">
        <f t="shared" si="37"/>
        <v>0</v>
      </c>
    </row>
    <row r="121" spans="2:58" ht="14.25" hidden="1" thickBot="1">
      <c r="B121" s="883"/>
      <c r="C121" s="710"/>
      <c r="D121" s="829" t="s">
        <v>3190</v>
      </c>
      <c r="E121" s="712"/>
      <c r="F121" s="880"/>
      <c r="G121" s="678"/>
      <c r="H121" s="2844"/>
      <c r="I121" s="2845"/>
      <c r="J121" s="2845"/>
      <c r="K121" s="2845"/>
      <c r="L121" s="2846"/>
      <c r="M121" s="910">
        <f t="shared" si="40"/>
        <v>3</v>
      </c>
      <c r="N121" s="692">
        <f t="shared" si="41"/>
        <v>1</v>
      </c>
      <c r="O121" s="824">
        <f t="shared" si="39"/>
        <v>0</v>
      </c>
      <c r="P121" s="667">
        <f t="shared" si="42"/>
        <v>0</v>
      </c>
      <c r="Q121" s="668"/>
      <c r="R121" s="586"/>
      <c r="S121" s="2513">
        <f>採点LR1!F47</f>
        <v>3</v>
      </c>
      <c r="T121" s="586"/>
      <c r="V121" s="761">
        <f>M121</f>
        <v>3</v>
      </c>
      <c r="W121" s="670">
        <f>重み!D121</f>
        <v>1</v>
      </c>
      <c r="X121" s="669">
        <f>X122*Y122+X123*Y123</f>
        <v>0</v>
      </c>
      <c r="Y121" s="670">
        <f>重み!E121</f>
        <v>0</v>
      </c>
      <c r="Z121" s="641"/>
      <c r="AA121" s="586"/>
      <c r="AB121" s="617">
        <f>重み!M121</f>
        <v>1</v>
      </c>
      <c r="AC121" s="601"/>
      <c r="AD121" s="617">
        <f>重み!N121</f>
        <v>0</v>
      </c>
      <c r="AP121" s="2672">
        <f t="shared" si="37"/>
        <v>0</v>
      </c>
    </row>
    <row r="122" spans="2:58" hidden="1">
      <c r="B122" s="883"/>
      <c r="C122" s="885"/>
      <c r="D122" s="829"/>
      <c r="E122" s="712"/>
      <c r="F122" s="880"/>
      <c r="G122" s="678"/>
      <c r="H122" s="2844"/>
      <c r="I122" s="2845"/>
      <c r="J122" s="2845"/>
      <c r="K122" s="2845"/>
      <c r="L122" s="2846"/>
      <c r="M122" s="839">
        <f t="shared" si="40"/>
        <v>0</v>
      </c>
      <c r="N122" s="692">
        <f t="shared" si="41"/>
        <v>0</v>
      </c>
      <c r="O122" s="824">
        <f t="shared" si="39"/>
        <v>0</v>
      </c>
      <c r="P122" s="667">
        <f t="shared" si="42"/>
        <v>0</v>
      </c>
      <c r="Q122" s="668"/>
      <c r="R122" s="586"/>
      <c r="T122" s="586"/>
      <c r="V122" s="695">
        <f>M122</f>
        <v>0</v>
      </c>
      <c r="W122" s="670">
        <f>重み!D122</f>
        <v>0</v>
      </c>
      <c r="X122" s="742"/>
      <c r="Y122" s="670">
        <f>重み!E122</f>
        <v>0</v>
      </c>
      <c r="Z122" s="641"/>
      <c r="AA122" s="586"/>
      <c r="AB122" s="617">
        <f>重み!M122</f>
        <v>0</v>
      </c>
      <c r="AC122" s="601"/>
      <c r="AD122" s="617">
        <f>重み!N122</f>
        <v>0</v>
      </c>
      <c r="AP122" s="2672">
        <f t="shared" si="37"/>
        <v>0</v>
      </c>
    </row>
    <row r="123" spans="2:58" ht="14.25" hidden="1" thickBot="1">
      <c r="B123" s="887"/>
      <c r="C123" s="885"/>
      <c r="D123" s="829"/>
      <c r="E123" s="712"/>
      <c r="F123" s="880"/>
      <c r="G123" s="678"/>
      <c r="H123" s="2844"/>
      <c r="I123" s="2845"/>
      <c r="J123" s="2845"/>
      <c r="K123" s="2845"/>
      <c r="L123" s="2846"/>
      <c r="M123" s="711">
        <f t="shared" si="40"/>
        <v>0</v>
      </c>
      <c r="N123" s="692">
        <f t="shared" si="41"/>
        <v>0</v>
      </c>
      <c r="O123" s="820">
        <f t="shared" si="39"/>
        <v>0</v>
      </c>
      <c r="P123" s="667">
        <f t="shared" si="42"/>
        <v>0</v>
      </c>
      <c r="Q123" s="797"/>
      <c r="R123" s="586"/>
      <c r="T123" s="586"/>
      <c r="V123" s="695">
        <f>M123</f>
        <v>0</v>
      </c>
      <c r="W123" s="670">
        <f>重み!D123</f>
        <v>0</v>
      </c>
      <c r="X123" s="742"/>
      <c r="Y123" s="670">
        <f>重み!E123</f>
        <v>0</v>
      </c>
      <c r="Z123" s="641"/>
      <c r="AA123" s="586"/>
      <c r="AB123" s="617">
        <f>重み!M123</f>
        <v>0</v>
      </c>
      <c r="AC123" s="601"/>
      <c r="AD123" s="617">
        <f>重み!N123</f>
        <v>0</v>
      </c>
      <c r="AP123" s="2672">
        <f t="shared" si="37"/>
        <v>0</v>
      </c>
    </row>
    <row r="124" spans="2:58" ht="14.25" thickBot="1">
      <c r="B124" s="879">
        <v>3</v>
      </c>
      <c r="C124" s="712" t="s">
        <v>1383</v>
      </c>
      <c r="D124" s="712"/>
      <c r="E124" s="712"/>
      <c r="F124" s="880"/>
      <c r="G124" s="678"/>
      <c r="H124" s="2496" t="s">
        <v>1477</v>
      </c>
      <c r="I124" s="2497" t="s">
        <v>2221</v>
      </c>
      <c r="J124" s="2498">
        <f>計画書!I25</f>
        <v>0.9</v>
      </c>
      <c r="K124" s="2497" t="s">
        <v>1476</v>
      </c>
      <c r="L124" s="2498">
        <f>計画書!N25</f>
        <v>0</v>
      </c>
      <c r="M124" s="753">
        <f t="shared" si="40"/>
        <v>4</v>
      </c>
      <c r="N124" s="843">
        <f t="shared" si="41"/>
        <v>0.5</v>
      </c>
      <c r="O124" s="826">
        <f t="shared" si="39"/>
        <v>0</v>
      </c>
      <c r="P124" s="719">
        <f t="shared" si="42"/>
        <v>0</v>
      </c>
      <c r="Q124" s="720">
        <f>ROUNDDOWN(Z124,1)</f>
        <v>4</v>
      </c>
      <c r="R124" s="586"/>
      <c r="S124" s="768">
        <f>採点LR1!F65</f>
        <v>4</v>
      </c>
      <c r="T124" s="586"/>
      <c r="V124" s="695">
        <f>M124</f>
        <v>4</v>
      </c>
      <c r="W124" s="670">
        <f>重み!D124</f>
        <v>0.5</v>
      </c>
      <c r="X124" s="669">
        <f>X125*Y125+X126*Y126</f>
        <v>0</v>
      </c>
      <c r="Y124" s="670">
        <f>重み!F124</f>
        <v>0</v>
      </c>
      <c r="Z124" s="641">
        <f>IF(X124=0,V124,V124*AB$6+X124*AD$6)</f>
        <v>4</v>
      </c>
      <c r="AA124" s="586"/>
      <c r="AB124" s="617">
        <f>重み!M124</f>
        <v>0.5</v>
      </c>
      <c r="AC124" s="601"/>
      <c r="AD124" s="617">
        <f>重み!N124</f>
        <v>0</v>
      </c>
      <c r="AF124" s="2643"/>
      <c r="AG124" s="2643"/>
      <c r="AH124" s="2643"/>
      <c r="AI124" s="2643"/>
      <c r="AJ124" s="2643"/>
      <c r="AK124" s="2643"/>
      <c r="AL124" s="2643"/>
      <c r="AM124" s="2643"/>
      <c r="AN124" s="2643"/>
      <c r="AO124" s="2643"/>
      <c r="AP124" s="2640">
        <f t="shared" si="37"/>
        <v>4</v>
      </c>
      <c r="AQ124" s="921">
        <f>N124</f>
        <v>0.5</v>
      </c>
      <c r="AR124" s="720"/>
      <c r="AS124" s="2614"/>
      <c r="AT124" s="2673">
        <f>S124</f>
        <v>4</v>
      </c>
      <c r="AV124" s="2638">
        <f>SUMPRODUCT($AW$7:$BF$7,AW124:BF124)</f>
        <v>0</v>
      </c>
      <c r="AW124" s="2624">
        <f t="shared" ref="AW124:BF124" si="43">IF(AF124&gt;0,1,0)</f>
        <v>0</v>
      </c>
      <c r="AX124" s="2624">
        <f t="shared" si="43"/>
        <v>0</v>
      </c>
      <c r="AY124" s="2624">
        <f t="shared" si="43"/>
        <v>0</v>
      </c>
      <c r="AZ124" s="2624">
        <f t="shared" si="43"/>
        <v>0</v>
      </c>
      <c r="BA124" s="2624">
        <f t="shared" si="43"/>
        <v>0</v>
      </c>
      <c r="BB124" s="2624">
        <f t="shared" si="43"/>
        <v>0</v>
      </c>
      <c r="BC124" s="2624">
        <f t="shared" si="43"/>
        <v>0</v>
      </c>
      <c r="BD124" s="2624">
        <f t="shared" si="43"/>
        <v>0</v>
      </c>
      <c r="BE124" s="2624">
        <f t="shared" si="43"/>
        <v>0</v>
      </c>
      <c r="BF124" s="2624">
        <f t="shared" si="43"/>
        <v>0</v>
      </c>
    </row>
    <row r="125" spans="2:58">
      <c r="B125" s="883"/>
      <c r="C125" s="2241"/>
      <c r="D125" s="829" t="s">
        <v>3207</v>
      </c>
      <c r="E125" s="712"/>
      <c r="F125" s="2242"/>
      <c r="G125" s="2242"/>
      <c r="H125" s="2844"/>
      <c r="I125" s="2845"/>
      <c r="J125" s="2845"/>
      <c r="K125" s="2845"/>
      <c r="L125" s="2846"/>
      <c r="M125" s="691">
        <f t="shared" si="40"/>
        <v>4</v>
      </c>
      <c r="N125" s="692">
        <f t="shared" si="41"/>
        <v>1</v>
      </c>
      <c r="O125" s="824">
        <f t="shared" si="39"/>
        <v>0</v>
      </c>
      <c r="P125" s="667">
        <f t="shared" si="42"/>
        <v>0</v>
      </c>
      <c r="Q125" s="668"/>
      <c r="R125" s="586"/>
      <c r="S125" s="768">
        <f>採点LR1!G65</f>
        <v>4</v>
      </c>
      <c r="T125" s="586"/>
      <c r="V125" s="761">
        <f t="shared" ref="V125:V132" si="44">M125</f>
        <v>4</v>
      </c>
      <c r="W125" s="670">
        <f>重み!D125</f>
        <v>1</v>
      </c>
      <c r="X125" s="742"/>
      <c r="Y125" s="670">
        <f>重み!F125</f>
        <v>0</v>
      </c>
      <c r="Z125" s="641"/>
      <c r="AA125" s="586"/>
      <c r="AB125" s="617">
        <f>重み!M125</f>
        <v>1</v>
      </c>
      <c r="AC125" s="601"/>
      <c r="AD125" s="617">
        <f>重み!N125</f>
        <v>0</v>
      </c>
      <c r="AP125" s="2672">
        <f t="shared" si="37"/>
        <v>0</v>
      </c>
    </row>
    <row r="126" spans="2:58" ht="14.25" thickBot="1">
      <c r="B126" s="883"/>
      <c r="C126" s="2241"/>
      <c r="D126" s="829" t="s">
        <v>3208</v>
      </c>
      <c r="E126" s="712"/>
      <c r="F126" s="2242"/>
      <c r="G126" s="2242"/>
      <c r="H126" s="2844"/>
      <c r="I126" s="2845"/>
      <c r="J126" s="2845"/>
      <c r="K126" s="2845"/>
      <c r="L126" s="2846"/>
      <c r="M126" s="699">
        <f t="shared" si="40"/>
        <v>0</v>
      </c>
      <c r="N126" s="692">
        <f t="shared" si="41"/>
        <v>0</v>
      </c>
      <c r="O126" s="824">
        <f t="shared" si="39"/>
        <v>0</v>
      </c>
      <c r="P126" s="667">
        <f t="shared" si="42"/>
        <v>0</v>
      </c>
      <c r="Q126" s="668"/>
      <c r="R126" s="586"/>
      <c r="S126" s="776">
        <f>採点LR1!F74</f>
        <v>0</v>
      </c>
      <c r="T126" s="586"/>
      <c r="V126" s="761">
        <f t="shared" si="44"/>
        <v>0</v>
      </c>
      <c r="W126" s="670">
        <f>重み!D126</f>
        <v>0</v>
      </c>
      <c r="X126" s="742"/>
      <c r="Y126" s="670">
        <f>重み!F126</f>
        <v>0</v>
      </c>
      <c r="Z126" s="641"/>
      <c r="AA126" s="586"/>
      <c r="AB126" s="617">
        <f>重み!M126</f>
        <v>0</v>
      </c>
      <c r="AC126" s="601"/>
      <c r="AD126" s="617">
        <f>重み!N126</f>
        <v>0</v>
      </c>
      <c r="AP126" s="2672">
        <f t="shared" si="37"/>
        <v>0</v>
      </c>
    </row>
    <row r="127" spans="2:58" hidden="1">
      <c r="B127" s="891"/>
      <c r="C127" s="892">
        <v>3.1</v>
      </c>
      <c r="D127" s="889" t="s">
        <v>1384</v>
      </c>
      <c r="E127" s="756"/>
      <c r="F127" s="757"/>
      <c r="G127" s="678"/>
      <c r="H127" s="2844"/>
      <c r="I127" s="2845"/>
      <c r="J127" s="2845"/>
      <c r="K127" s="2845"/>
      <c r="L127" s="2863"/>
      <c r="M127" s="691">
        <f t="shared" ref="M127:M132" si="45">ROUNDDOWN(S127,1)</f>
        <v>0</v>
      </c>
      <c r="N127" s="692">
        <f t="shared" si="31"/>
        <v>0</v>
      </c>
      <c r="O127" s="824">
        <f t="shared" ref="O127:O133" si="46">ROUNDDOWN(X127,1)</f>
        <v>0</v>
      </c>
      <c r="P127" s="667">
        <f t="shared" si="32"/>
        <v>0</v>
      </c>
      <c r="Q127" s="668"/>
      <c r="R127" s="586"/>
      <c r="S127" s="768">
        <f>採点LR1!F102</f>
        <v>0</v>
      </c>
      <c r="T127" s="586"/>
      <c r="V127" s="761">
        <f t="shared" si="44"/>
        <v>0</v>
      </c>
      <c r="W127" s="670">
        <f>重み!D127</f>
        <v>0</v>
      </c>
      <c r="X127" s="742"/>
      <c r="Y127" s="670">
        <f>重み!E127</f>
        <v>0</v>
      </c>
      <c r="Z127" s="641"/>
      <c r="AA127" s="586"/>
      <c r="AB127" s="617">
        <f>重み!M127</f>
        <v>0</v>
      </c>
      <c r="AC127" s="601"/>
      <c r="AD127" s="617">
        <f>重み!N127</f>
        <v>0</v>
      </c>
      <c r="AP127" s="2672">
        <f t="shared" si="37"/>
        <v>0</v>
      </c>
    </row>
    <row r="128" spans="2:58" hidden="1">
      <c r="B128" s="891"/>
      <c r="C128" s="892">
        <v>3.2</v>
      </c>
      <c r="D128" s="889" t="s">
        <v>1385</v>
      </c>
      <c r="E128" s="756"/>
      <c r="F128" s="757"/>
      <c r="G128" s="678"/>
      <c r="H128" s="2844"/>
      <c r="I128" s="2845"/>
      <c r="J128" s="2845"/>
      <c r="K128" s="2845"/>
      <c r="L128" s="2863"/>
      <c r="M128" s="706">
        <f t="shared" si="45"/>
        <v>0</v>
      </c>
      <c r="N128" s="692">
        <f t="shared" si="31"/>
        <v>0</v>
      </c>
      <c r="O128" s="824">
        <f t="shared" si="46"/>
        <v>0</v>
      </c>
      <c r="P128" s="667">
        <f t="shared" si="32"/>
        <v>0</v>
      </c>
      <c r="Q128" s="668"/>
      <c r="R128" s="586"/>
      <c r="S128" s="893"/>
      <c r="T128" s="893"/>
      <c r="V128" s="761">
        <f t="shared" si="44"/>
        <v>0</v>
      </c>
      <c r="W128" s="670">
        <f>重み!D128</f>
        <v>0</v>
      </c>
      <c r="X128" s="742"/>
      <c r="Y128" s="670">
        <f>重み!E128</f>
        <v>0</v>
      </c>
      <c r="Z128" s="641"/>
      <c r="AA128" s="586"/>
      <c r="AB128" s="617">
        <f>重み!M128</f>
        <v>0</v>
      </c>
      <c r="AC128" s="601"/>
      <c r="AD128" s="617">
        <f>重み!N128</f>
        <v>0</v>
      </c>
      <c r="AP128" s="2672">
        <f t="shared" si="37"/>
        <v>0</v>
      </c>
    </row>
    <row r="129" spans="2:58" ht="14.25" hidden="1" thickBot="1">
      <c r="B129" s="891"/>
      <c r="C129" s="892">
        <v>3.3</v>
      </c>
      <c r="D129" s="889" t="s">
        <v>1386</v>
      </c>
      <c r="E129" s="756"/>
      <c r="F129" s="757"/>
      <c r="G129" s="678"/>
      <c r="H129" s="2844"/>
      <c r="I129" s="2845"/>
      <c r="J129" s="2845"/>
      <c r="K129" s="2845"/>
      <c r="L129" s="2863"/>
      <c r="M129" s="706">
        <f t="shared" si="45"/>
        <v>0</v>
      </c>
      <c r="N129" s="692">
        <f t="shared" si="31"/>
        <v>0</v>
      </c>
      <c r="O129" s="824">
        <f t="shared" si="46"/>
        <v>0</v>
      </c>
      <c r="P129" s="667">
        <f t="shared" si="32"/>
        <v>0</v>
      </c>
      <c r="Q129" s="668"/>
      <c r="R129" s="586"/>
      <c r="S129" s="776">
        <f>採点LR1!F113</f>
        <v>0</v>
      </c>
      <c r="T129" s="893"/>
      <c r="V129" s="761">
        <f t="shared" si="44"/>
        <v>0</v>
      </c>
      <c r="W129" s="670">
        <f>重み!D129</f>
        <v>0</v>
      </c>
      <c r="X129" s="742"/>
      <c r="Y129" s="670">
        <f>重み!E129</f>
        <v>0</v>
      </c>
      <c r="Z129" s="641"/>
      <c r="AA129" s="586"/>
      <c r="AB129" s="617">
        <f>重み!M129</f>
        <v>0</v>
      </c>
      <c r="AC129" s="601"/>
      <c r="AD129" s="617">
        <f>重み!N129</f>
        <v>0</v>
      </c>
      <c r="AP129" s="2672">
        <f t="shared" si="37"/>
        <v>0</v>
      </c>
    </row>
    <row r="130" spans="2:58" hidden="1">
      <c r="B130" s="891"/>
      <c r="C130" s="892">
        <v>3.4</v>
      </c>
      <c r="D130" s="889" t="s">
        <v>1387</v>
      </c>
      <c r="E130" s="756"/>
      <c r="F130" s="757"/>
      <c r="G130" s="678"/>
      <c r="H130" s="2844"/>
      <c r="I130" s="2845"/>
      <c r="J130" s="2845"/>
      <c r="K130" s="2845"/>
      <c r="L130" s="2863"/>
      <c r="M130" s="706">
        <f t="shared" si="45"/>
        <v>0</v>
      </c>
      <c r="N130" s="692">
        <f t="shared" si="31"/>
        <v>0</v>
      </c>
      <c r="O130" s="824">
        <f t="shared" si="46"/>
        <v>0</v>
      </c>
      <c r="P130" s="667">
        <f t="shared" si="32"/>
        <v>0</v>
      </c>
      <c r="Q130" s="668"/>
      <c r="R130" s="586"/>
      <c r="S130" s="721"/>
      <c r="T130" s="586"/>
      <c r="V130" s="761">
        <f t="shared" si="44"/>
        <v>0</v>
      </c>
      <c r="W130" s="670">
        <f>重み!D130</f>
        <v>0</v>
      </c>
      <c r="X130" s="742"/>
      <c r="Y130" s="670">
        <f>重み!E130</f>
        <v>0</v>
      </c>
      <c r="Z130" s="641"/>
      <c r="AA130" s="586"/>
      <c r="AB130" s="617">
        <f>重み!M130</f>
        <v>0</v>
      </c>
      <c r="AC130" s="601"/>
      <c r="AD130" s="617">
        <f>重み!N130</f>
        <v>0</v>
      </c>
      <c r="AP130" s="2672">
        <f t="shared" si="37"/>
        <v>0</v>
      </c>
    </row>
    <row r="131" spans="2:58" ht="14.25" hidden="1" thickBot="1">
      <c r="B131" s="891"/>
      <c r="C131" s="892">
        <v>3.5</v>
      </c>
      <c r="D131" s="889" t="s">
        <v>1388</v>
      </c>
      <c r="E131" s="756"/>
      <c r="F131" s="757"/>
      <c r="G131" s="678"/>
      <c r="H131" s="2844"/>
      <c r="I131" s="2845"/>
      <c r="J131" s="2845"/>
      <c r="K131" s="2845"/>
      <c r="L131" s="2863"/>
      <c r="M131" s="706">
        <f t="shared" si="45"/>
        <v>0</v>
      </c>
      <c r="N131" s="806">
        <f t="shared" si="31"/>
        <v>0</v>
      </c>
      <c r="O131" s="824">
        <f t="shared" si="46"/>
        <v>0</v>
      </c>
      <c r="P131" s="667">
        <f t="shared" si="32"/>
        <v>0</v>
      </c>
      <c r="Q131" s="668"/>
      <c r="R131" s="586"/>
      <c r="S131" s="685"/>
      <c r="T131" s="586"/>
      <c r="V131" s="761">
        <f t="shared" si="44"/>
        <v>0</v>
      </c>
      <c r="W131" s="670">
        <f>重み!D131</f>
        <v>0</v>
      </c>
      <c r="X131" s="742"/>
      <c r="Y131" s="670">
        <f>重み!E131</f>
        <v>0</v>
      </c>
      <c r="Z131" s="641"/>
      <c r="AA131" s="586"/>
      <c r="AB131" s="617">
        <f>重み!M131</f>
        <v>0</v>
      </c>
      <c r="AC131" s="601"/>
      <c r="AD131" s="617">
        <f>重み!N131</f>
        <v>0</v>
      </c>
      <c r="AP131" s="2672">
        <f t="shared" si="37"/>
        <v>0</v>
      </c>
    </row>
    <row r="132" spans="2:58" ht="14.25" hidden="1" thickBot="1">
      <c r="B132" s="894"/>
      <c r="C132" s="892">
        <v>3.6</v>
      </c>
      <c r="D132" s="889" t="s">
        <v>2087</v>
      </c>
      <c r="E132" s="756"/>
      <c r="F132" s="757"/>
      <c r="G132" s="678"/>
      <c r="H132" s="2844"/>
      <c r="I132" s="2845"/>
      <c r="J132" s="2845"/>
      <c r="K132" s="2845"/>
      <c r="L132" s="2863"/>
      <c r="M132" s="699">
        <f t="shared" si="45"/>
        <v>0</v>
      </c>
      <c r="N132" s="666">
        <f t="shared" si="31"/>
        <v>0</v>
      </c>
      <c r="O132" s="804">
        <f t="shared" si="46"/>
        <v>0</v>
      </c>
      <c r="P132" s="667">
        <f t="shared" si="32"/>
        <v>0</v>
      </c>
      <c r="Q132" s="668"/>
      <c r="R132" s="586"/>
      <c r="S132" s="895"/>
      <c r="T132" s="893"/>
      <c r="V132" s="761">
        <f t="shared" si="44"/>
        <v>0</v>
      </c>
      <c r="W132" s="670">
        <f>重み!D132</f>
        <v>0</v>
      </c>
      <c r="X132" s="742"/>
      <c r="Y132" s="670">
        <f>重み!E132</f>
        <v>0</v>
      </c>
      <c r="Z132" s="641"/>
      <c r="AA132" s="586"/>
      <c r="AB132" s="617">
        <f>重み!M132</f>
        <v>0</v>
      </c>
      <c r="AC132" s="601"/>
      <c r="AD132" s="617">
        <f>重み!N132</f>
        <v>0</v>
      </c>
      <c r="AP132" s="2672">
        <f t="shared" si="37"/>
        <v>0</v>
      </c>
    </row>
    <row r="133" spans="2:58">
      <c r="B133" s="879">
        <v>4</v>
      </c>
      <c r="C133" s="712" t="s">
        <v>1389</v>
      </c>
      <c r="D133" s="658"/>
      <c r="E133" s="658"/>
      <c r="F133" s="660"/>
      <c r="G133" s="678"/>
      <c r="H133" s="714"/>
      <c r="I133" s="715"/>
      <c r="J133" s="715"/>
      <c r="K133" s="715"/>
      <c r="L133" s="2495"/>
      <c r="M133" s="2489">
        <f>ROUNDDOWN(V133,1)</f>
        <v>3</v>
      </c>
      <c r="N133" s="718">
        <f t="shared" si="31"/>
        <v>0.2</v>
      </c>
      <c r="O133" s="826">
        <f t="shared" si="46"/>
        <v>0</v>
      </c>
      <c r="P133" s="719">
        <f t="shared" si="32"/>
        <v>0</v>
      </c>
      <c r="Q133" s="720">
        <f>ROUNDDOWN(Z133,1)</f>
        <v>3</v>
      </c>
      <c r="R133" s="586"/>
      <c r="S133" s="827"/>
      <c r="T133" s="586"/>
      <c r="V133" s="669">
        <f>V134*W134+V137*W137</f>
        <v>3</v>
      </c>
      <c r="W133" s="670">
        <f>重み!D133</f>
        <v>0.2</v>
      </c>
      <c r="X133" s="669">
        <f>X134*Y134+X137*Y137</f>
        <v>0</v>
      </c>
      <c r="Y133" s="670">
        <f>重み!E133</f>
        <v>0</v>
      </c>
      <c r="Z133" s="641">
        <f>IF(X133=0,V133,V133*AB$6+X133*AD$6)</f>
        <v>3</v>
      </c>
      <c r="AA133" s="586"/>
      <c r="AB133" s="617">
        <f>重み!M133</f>
        <v>0.2</v>
      </c>
      <c r="AC133" s="601"/>
      <c r="AD133" s="617">
        <f>重み!N133</f>
        <v>0</v>
      </c>
      <c r="AF133" s="2643">
        <v>3</v>
      </c>
      <c r="AG133" s="2643"/>
      <c r="AH133" s="2643"/>
      <c r="AI133" s="2643"/>
      <c r="AJ133" s="2643"/>
      <c r="AK133" s="2643">
        <v>3</v>
      </c>
      <c r="AL133" s="2643"/>
      <c r="AM133" s="2643"/>
      <c r="AN133" s="2643"/>
      <c r="AO133" s="2643"/>
      <c r="AP133" s="2640">
        <f t="shared" si="37"/>
        <v>3</v>
      </c>
      <c r="AQ133" s="921">
        <f>N133</f>
        <v>0.2</v>
      </c>
      <c r="AR133" s="720"/>
      <c r="AS133" s="2614"/>
      <c r="AT133" s="2639">
        <f>SUMPRODUCT($AW$7:$BF$7,AF133:AO133)/AV133</f>
        <v>3</v>
      </c>
      <c r="AV133" s="2638">
        <f>SUMPRODUCT($AW$7:$BF$7,AW133:BF133)</f>
        <v>1</v>
      </c>
      <c r="AW133" s="2624">
        <f t="shared" ref="AW133:BF133" si="47">IF(AF133&gt;0,1,0)</f>
        <v>1</v>
      </c>
      <c r="AX133" s="2624">
        <f t="shared" si="47"/>
        <v>0</v>
      </c>
      <c r="AY133" s="2624">
        <f t="shared" si="47"/>
        <v>0</v>
      </c>
      <c r="AZ133" s="2624">
        <f t="shared" si="47"/>
        <v>0</v>
      </c>
      <c r="BA133" s="2624">
        <f t="shared" si="47"/>
        <v>0</v>
      </c>
      <c r="BB133" s="2624">
        <f t="shared" si="47"/>
        <v>1</v>
      </c>
      <c r="BC133" s="2624">
        <f t="shared" si="47"/>
        <v>0</v>
      </c>
      <c r="BD133" s="2624">
        <f t="shared" si="47"/>
        <v>0</v>
      </c>
      <c r="BE133" s="2624">
        <f t="shared" si="47"/>
        <v>0</v>
      </c>
      <c r="BF133" s="2624">
        <f t="shared" si="47"/>
        <v>0</v>
      </c>
    </row>
    <row r="134" spans="2:58" ht="14.25" thickBot="1">
      <c r="B134" s="752"/>
      <c r="C134" s="702"/>
      <c r="D134" s="722" t="s">
        <v>1114</v>
      </c>
      <c r="E134" s="675"/>
      <c r="F134" s="724"/>
      <c r="G134" s="678">
        <v>5</v>
      </c>
      <c r="H134" s="662"/>
      <c r="I134" s="663"/>
      <c r="J134" s="663"/>
      <c r="K134" s="663"/>
      <c r="L134" s="664"/>
      <c r="M134" s="753">
        <f>ROUNDDOWN(V134,1)</f>
        <v>3</v>
      </c>
      <c r="N134" s="666">
        <f t="shared" si="31"/>
        <v>1</v>
      </c>
      <c r="O134" s="804">
        <f>ROUNDDOWN(X134,1)</f>
        <v>0</v>
      </c>
      <c r="P134" s="667">
        <f t="shared" si="32"/>
        <v>0</v>
      </c>
      <c r="Q134" s="668"/>
      <c r="R134" s="586"/>
      <c r="S134" s="827"/>
      <c r="T134" s="586"/>
      <c r="V134" s="669">
        <f>SUMPRODUCT(V135:V136,W135:W136)</f>
        <v>3</v>
      </c>
      <c r="W134" s="670">
        <f>重み!D134</f>
        <v>1</v>
      </c>
      <c r="X134" s="669">
        <f>SUMPRODUCT(X135:X136,Y135:Y136)</f>
        <v>0</v>
      </c>
      <c r="Y134" s="670">
        <f>重み!E134</f>
        <v>0</v>
      </c>
      <c r="Z134" s="641"/>
      <c r="AA134" s="586"/>
      <c r="AB134" s="617">
        <f>重み!M134</f>
        <v>1</v>
      </c>
      <c r="AC134" s="601"/>
      <c r="AD134" s="617">
        <f>重み!N134</f>
        <v>0</v>
      </c>
    </row>
    <row r="135" spans="2:58">
      <c r="B135" s="752"/>
      <c r="C135" s="902"/>
      <c r="D135" s="687">
        <v>4.0999999999999996</v>
      </c>
      <c r="E135" s="676" t="s">
        <v>1099</v>
      </c>
      <c r="F135" s="729"/>
      <c r="G135" s="678"/>
      <c r="H135" s="2844"/>
      <c r="I135" s="2845"/>
      <c r="J135" s="2845"/>
      <c r="K135" s="2845"/>
      <c r="L135" s="2846"/>
      <c r="M135" s="691">
        <f>ROUNDDOWN(S135,1)</f>
        <v>3</v>
      </c>
      <c r="N135" s="806">
        <f t="shared" si="31"/>
        <v>0.5</v>
      </c>
      <c r="O135" s="807">
        <f>ROUNDDOWN(T135,1)</f>
        <v>0</v>
      </c>
      <c r="P135" s="667">
        <f t="shared" si="32"/>
        <v>0</v>
      </c>
      <c r="Q135" s="668"/>
      <c r="R135" s="586"/>
      <c r="S135" s="768">
        <f>採点LR1!F127</f>
        <v>3</v>
      </c>
      <c r="T135" s="893"/>
      <c r="V135" s="695">
        <f>M135</f>
        <v>3</v>
      </c>
      <c r="W135" s="670">
        <f>重み!D135</f>
        <v>0.5</v>
      </c>
      <c r="X135" s="742"/>
      <c r="Y135" s="670">
        <f>重み!E135</f>
        <v>0</v>
      </c>
      <c r="Z135" s="641"/>
      <c r="AA135" s="586"/>
      <c r="AB135" s="617">
        <f>重み!M135</f>
        <v>0.5</v>
      </c>
      <c r="AC135" s="601"/>
      <c r="AD135" s="617"/>
    </row>
    <row r="136" spans="2:58" ht="14.25" thickBot="1">
      <c r="B136" s="752"/>
      <c r="C136" s="903"/>
      <c r="D136" s="687">
        <v>4.2</v>
      </c>
      <c r="E136" s="676" t="s">
        <v>1107</v>
      </c>
      <c r="F136" s="729"/>
      <c r="G136" s="678"/>
      <c r="H136" s="2844"/>
      <c r="I136" s="2845"/>
      <c r="J136" s="2845"/>
      <c r="K136" s="2845"/>
      <c r="L136" s="2846"/>
      <c r="M136" s="699">
        <f>ROUNDDOWN(S136,1)</f>
        <v>3</v>
      </c>
      <c r="N136" s="806">
        <f t="shared" si="31"/>
        <v>0.5</v>
      </c>
      <c r="O136" s="807">
        <f>ROUNDDOWN(T136,1)</f>
        <v>0</v>
      </c>
      <c r="P136" s="667">
        <f t="shared" si="32"/>
        <v>0</v>
      </c>
      <c r="Q136" s="668"/>
      <c r="R136" s="586"/>
      <c r="S136" s="776">
        <f>採点LR1!F157</f>
        <v>3</v>
      </c>
      <c r="T136" s="893"/>
      <c r="V136" s="695">
        <f>M136</f>
        <v>3</v>
      </c>
      <c r="W136" s="670">
        <f>重み!D136</f>
        <v>0.5</v>
      </c>
      <c r="X136" s="742"/>
      <c r="Y136" s="670">
        <f>重み!E136</f>
        <v>0</v>
      </c>
      <c r="Z136" s="641"/>
      <c r="AA136" s="586"/>
      <c r="AB136" s="617">
        <f>重み!M136</f>
        <v>0.5</v>
      </c>
      <c r="AC136" s="601"/>
      <c r="AD136" s="617"/>
    </row>
    <row r="137" spans="2:58" ht="14.25" thickBot="1">
      <c r="B137" s="752"/>
      <c r="C137" s="702"/>
      <c r="D137" s="722" t="s">
        <v>1115</v>
      </c>
      <c r="E137" s="675"/>
      <c r="F137" s="724"/>
      <c r="G137" s="774">
        <v>5</v>
      </c>
      <c r="H137" s="662"/>
      <c r="I137" s="663"/>
      <c r="J137" s="663"/>
      <c r="K137" s="663"/>
      <c r="L137" s="664"/>
      <c r="M137" s="753">
        <f>ROUNDDOWN(V137,1)</f>
        <v>0</v>
      </c>
      <c r="N137" s="666">
        <f t="shared" si="31"/>
        <v>0</v>
      </c>
      <c r="O137" s="804">
        <f>ROUNDDOWN(X137,1)</f>
        <v>0</v>
      </c>
      <c r="P137" s="667">
        <f t="shared" si="32"/>
        <v>0</v>
      </c>
      <c r="Q137" s="668"/>
      <c r="R137" s="586"/>
      <c r="S137" s="827"/>
      <c r="T137" s="586"/>
      <c r="V137" s="669">
        <f>SUMPRODUCT(V138:V139,W138:W139)</f>
        <v>0</v>
      </c>
      <c r="W137" s="670">
        <f>重み!D137</f>
        <v>0</v>
      </c>
      <c r="X137" s="669">
        <f>SUMPRODUCT(X138:X139,Y138:Y139)</f>
        <v>0</v>
      </c>
      <c r="Y137" s="670">
        <f>重み!E137</f>
        <v>0</v>
      </c>
      <c r="Z137" s="641"/>
      <c r="AA137" s="586"/>
      <c r="AB137" s="617">
        <f>重み!M137</f>
        <v>0</v>
      </c>
      <c r="AC137" s="601"/>
      <c r="AD137" s="617">
        <f>重み!N137</f>
        <v>0</v>
      </c>
    </row>
    <row r="138" spans="2:58">
      <c r="B138" s="752"/>
      <c r="C138" s="902"/>
      <c r="D138" s="687">
        <v>4.0999999999999996</v>
      </c>
      <c r="E138" s="676" t="s">
        <v>1099</v>
      </c>
      <c r="F138" s="729"/>
      <c r="G138" s="678"/>
      <c r="H138" s="2844"/>
      <c r="I138" s="2845"/>
      <c r="J138" s="2845"/>
      <c r="K138" s="2845"/>
      <c r="L138" s="2846"/>
      <c r="M138" s="691">
        <f>ROUNDDOWN(S138,1)</f>
        <v>3</v>
      </c>
      <c r="N138" s="806">
        <f t="shared" si="31"/>
        <v>0</v>
      </c>
      <c r="O138" s="807">
        <f>ROUNDDOWN(T138,1)</f>
        <v>0</v>
      </c>
      <c r="P138" s="667">
        <f t="shared" si="32"/>
        <v>0</v>
      </c>
      <c r="Q138" s="668"/>
      <c r="R138" s="586"/>
      <c r="S138" s="768">
        <f>採点LR1!K127</f>
        <v>3</v>
      </c>
      <c r="T138" s="586"/>
      <c r="V138" s="695">
        <f>M138</f>
        <v>3</v>
      </c>
      <c r="W138" s="670">
        <f>重み!D138</f>
        <v>0</v>
      </c>
      <c r="X138" s="742"/>
      <c r="Y138" s="670">
        <f>重み!E138</f>
        <v>0</v>
      </c>
      <c r="Z138" s="641"/>
      <c r="AA138" s="586"/>
      <c r="AB138" s="617">
        <f>重み!M138</f>
        <v>0</v>
      </c>
      <c r="AC138" s="601"/>
      <c r="AD138" s="617"/>
    </row>
    <row r="139" spans="2:58" ht="14.25" thickBot="1">
      <c r="B139" s="810"/>
      <c r="C139" s="903"/>
      <c r="D139" s="687">
        <v>4.2</v>
      </c>
      <c r="E139" s="676" t="s">
        <v>1107</v>
      </c>
      <c r="F139" s="729"/>
      <c r="G139" s="678"/>
      <c r="H139" s="2844"/>
      <c r="I139" s="2845"/>
      <c r="J139" s="2845"/>
      <c r="K139" s="2845"/>
      <c r="L139" s="2846"/>
      <c r="M139" s="699">
        <f>ROUNDDOWN(S139,1)</f>
        <v>3</v>
      </c>
      <c r="N139" s="806">
        <f t="shared" si="31"/>
        <v>0</v>
      </c>
      <c r="O139" s="807">
        <f>ROUNDDOWN(T139,1)</f>
        <v>0</v>
      </c>
      <c r="P139" s="667">
        <f t="shared" si="32"/>
        <v>0</v>
      </c>
      <c r="Q139" s="668"/>
      <c r="R139" s="586"/>
      <c r="S139" s="776">
        <f>採点LR1!K157</f>
        <v>3</v>
      </c>
      <c r="T139" s="586"/>
      <c r="V139" s="695">
        <f>M139</f>
        <v>3</v>
      </c>
      <c r="W139" s="670">
        <f>重み!D139</f>
        <v>0</v>
      </c>
      <c r="X139" s="742"/>
      <c r="Y139" s="670">
        <f>重み!E139</f>
        <v>0</v>
      </c>
      <c r="Z139" s="641"/>
      <c r="AA139" s="586"/>
      <c r="AB139" s="617">
        <f>重み!M139</f>
        <v>0</v>
      </c>
      <c r="AC139" s="601"/>
      <c r="AD139" s="617"/>
    </row>
    <row r="140" spans="2:58" ht="15.75" thickBot="1">
      <c r="B140" s="777" t="s">
        <v>2089</v>
      </c>
      <c r="C140" s="835" t="s">
        <v>2090</v>
      </c>
      <c r="D140" s="835"/>
      <c r="E140" s="835"/>
      <c r="F140" s="836"/>
      <c r="G140" s="837"/>
      <c r="H140" s="782"/>
      <c r="I140" s="783"/>
      <c r="J140" s="783"/>
      <c r="K140" s="783"/>
      <c r="L140" s="784"/>
      <c r="M140" s="785">
        <f>ROUNDDOWN(V140,1)</f>
        <v>0</v>
      </c>
      <c r="N140" s="786">
        <f t="shared" si="31"/>
        <v>0.3</v>
      </c>
      <c r="O140" s="787">
        <f>ROUNDDOWN(X140,1)</f>
        <v>0</v>
      </c>
      <c r="P140" s="788">
        <f t="shared" si="32"/>
        <v>0</v>
      </c>
      <c r="Q140" s="789">
        <f>ROUNDDOWN(Z140,1)</f>
        <v>3</v>
      </c>
      <c r="R140" s="586"/>
      <c r="S140" s="585"/>
      <c r="T140" s="586"/>
      <c r="V140" s="742"/>
      <c r="W140" s="654">
        <f>重み!D140</f>
        <v>0.3</v>
      </c>
      <c r="X140" s="742"/>
      <c r="Y140" s="654"/>
      <c r="Z140" s="641">
        <f>Z141*W141+Z146*W146+W153*Z153</f>
        <v>3.0466666666666669</v>
      </c>
      <c r="AA140" s="586"/>
      <c r="AB140" s="617">
        <f>重み!M140</f>
        <v>0.3</v>
      </c>
      <c r="AC140" s="601"/>
      <c r="AD140" s="617">
        <f>重み!N140</f>
        <v>0</v>
      </c>
      <c r="AF140" s="2670"/>
      <c r="AG140" s="2656"/>
      <c r="AH140" s="2656"/>
      <c r="AI140" s="2656"/>
      <c r="AJ140" s="2656"/>
      <c r="AK140" s="2656"/>
      <c r="AL140" s="2656"/>
      <c r="AM140" s="2656"/>
      <c r="AN140" s="2656"/>
      <c r="AO140" s="2657"/>
      <c r="AP140" s="2658"/>
      <c r="AQ140" s="2659">
        <f>N140</f>
        <v>0.3</v>
      </c>
      <c r="AR140" s="789">
        <f t="shared" ref="AR140" si="48">ROUNDDOWN(AT140,1)</f>
        <v>3</v>
      </c>
      <c r="AT140" s="2639">
        <f>SUMPRODUCT(AQ141:AQ158,AT141:AT158)</f>
        <v>3</v>
      </c>
    </row>
    <row r="141" spans="2:58" ht="14.25" thickBot="1">
      <c r="B141" s="896">
        <v>1</v>
      </c>
      <c r="C141" s="658" t="s">
        <v>1391</v>
      </c>
      <c r="D141" s="658"/>
      <c r="E141" s="658"/>
      <c r="F141" s="660"/>
      <c r="G141" s="661"/>
      <c r="H141" s="897"/>
      <c r="I141" s="898"/>
      <c r="J141" s="898"/>
      <c r="K141" s="898"/>
      <c r="L141" s="899"/>
      <c r="M141" s="753">
        <f>ROUNDDOWN(V141,1)</f>
        <v>3</v>
      </c>
      <c r="N141" s="666">
        <f t="shared" si="31"/>
        <v>0.2</v>
      </c>
      <c r="O141" s="804">
        <f>ROUNDDOWN(X141,1)</f>
        <v>0</v>
      </c>
      <c r="P141" s="667">
        <f t="shared" si="32"/>
        <v>0</v>
      </c>
      <c r="Q141" s="668">
        <f>ROUNDDOWN(Z141,1)</f>
        <v>3</v>
      </c>
      <c r="R141" s="586"/>
      <c r="S141" s="685"/>
      <c r="T141" s="586"/>
      <c r="V141" s="669">
        <f>V142*W142+V143*W143</f>
        <v>3</v>
      </c>
      <c r="W141" s="670">
        <f>重み!D141</f>
        <v>0.2</v>
      </c>
      <c r="X141" s="669">
        <f>X142*Y142+X143*Y143</f>
        <v>0</v>
      </c>
      <c r="Y141" s="670">
        <f>重み!E141</f>
        <v>0</v>
      </c>
      <c r="Z141" s="641">
        <f>IF(X141=0,V141,IF(V141=0,X141,V141*AB$6+X141*AD$6))</f>
        <v>3</v>
      </c>
      <c r="AA141" s="586"/>
      <c r="AB141" s="617">
        <f>重み!M141</f>
        <v>0.2</v>
      </c>
      <c r="AC141" s="601"/>
      <c r="AD141" s="617">
        <f>重み!N141</f>
        <v>0</v>
      </c>
      <c r="AF141" s="2643">
        <v>3</v>
      </c>
      <c r="AG141" s="2643"/>
      <c r="AH141" s="2643"/>
      <c r="AI141" s="2643"/>
      <c r="AJ141" s="2643"/>
      <c r="AK141" s="2643">
        <v>4</v>
      </c>
      <c r="AL141" s="2643"/>
      <c r="AM141" s="2643"/>
      <c r="AN141" s="2643"/>
      <c r="AO141" s="2643"/>
      <c r="AP141" s="2640">
        <f t="shared" ref="AP141:AP153" si="49">ROUNDDOWN(AT141,1)</f>
        <v>3</v>
      </c>
      <c r="AQ141" s="921">
        <f>N141</f>
        <v>0.2</v>
      </c>
      <c r="AR141" s="720"/>
      <c r="AS141" s="2614"/>
      <c r="AT141" s="2639">
        <f>SUMPRODUCT($AW$7:$BF$7,AF141:AO141)/AV141</f>
        <v>3</v>
      </c>
      <c r="AV141" s="2638">
        <f>SUMPRODUCT($AW$7:$BF$7,AW141:BF141)</f>
        <v>1</v>
      </c>
      <c r="AW141" s="2624">
        <f t="shared" ref="AW141:BF141" si="50">IF(AF141&gt;0,1,0)</f>
        <v>1</v>
      </c>
      <c r="AX141" s="2624">
        <f t="shared" si="50"/>
        <v>0</v>
      </c>
      <c r="AY141" s="2624">
        <f t="shared" si="50"/>
        <v>0</v>
      </c>
      <c r="AZ141" s="2624">
        <f t="shared" si="50"/>
        <v>0</v>
      </c>
      <c r="BA141" s="2624">
        <f t="shared" si="50"/>
        <v>0</v>
      </c>
      <c r="BB141" s="2624">
        <f t="shared" si="50"/>
        <v>1</v>
      </c>
      <c r="BC141" s="2624">
        <f t="shared" si="50"/>
        <v>0</v>
      </c>
      <c r="BD141" s="2624">
        <f t="shared" si="50"/>
        <v>0</v>
      </c>
      <c r="BE141" s="2624">
        <f t="shared" si="50"/>
        <v>0</v>
      </c>
      <c r="BF141" s="2624">
        <f t="shared" si="50"/>
        <v>0</v>
      </c>
    </row>
    <row r="142" spans="2:58" ht="14.25" thickBot="1">
      <c r="B142" s="752"/>
      <c r="C142" s="710">
        <v>1.1000000000000001</v>
      </c>
      <c r="D142" s="676" t="s">
        <v>1392</v>
      </c>
      <c r="E142" s="676"/>
      <c r="F142" s="729"/>
      <c r="G142" s="678">
        <v>5</v>
      </c>
      <c r="H142" s="2844"/>
      <c r="I142" s="2845"/>
      <c r="J142" s="2845"/>
      <c r="K142" s="2845"/>
      <c r="L142" s="2846"/>
      <c r="M142" s="878">
        <f>ROUNDDOWN(S142,1)</f>
        <v>3</v>
      </c>
      <c r="N142" s="884">
        <f t="shared" si="31"/>
        <v>0.4</v>
      </c>
      <c r="O142" s="816">
        <f>ROUNDDOWN(T142,1)</f>
        <v>0</v>
      </c>
      <c r="P142" s="727">
        <f t="shared" si="32"/>
        <v>0</v>
      </c>
      <c r="Q142" s="684"/>
      <c r="R142" s="586"/>
      <c r="S142" s="768">
        <f>採点LR2!F8</f>
        <v>3</v>
      </c>
      <c r="T142" s="893"/>
      <c r="V142" s="695">
        <f>M142</f>
        <v>3</v>
      </c>
      <c r="W142" s="670">
        <f>重み!D142</f>
        <v>0.4</v>
      </c>
      <c r="X142" s="742"/>
      <c r="Y142" s="670">
        <f>重み!E142</f>
        <v>0</v>
      </c>
      <c r="Z142" s="641"/>
      <c r="AA142" s="586"/>
      <c r="AB142" s="617">
        <f>重み!M142</f>
        <v>0.4</v>
      </c>
      <c r="AC142" s="601"/>
      <c r="AD142" s="617">
        <f>重み!N142</f>
        <v>0</v>
      </c>
      <c r="AP142" s="2672">
        <f t="shared" si="49"/>
        <v>0</v>
      </c>
    </row>
    <row r="143" spans="2:58" ht="14.25" thickBot="1">
      <c r="B143" s="752"/>
      <c r="C143" s="900">
        <v>1.2</v>
      </c>
      <c r="D143" s="722" t="s">
        <v>1393</v>
      </c>
      <c r="E143" s="675"/>
      <c r="F143" s="724"/>
      <c r="G143" s="678">
        <v>5</v>
      </c>
      <c r="H143" s="662"/>
      <c r="I143" s="663"/>
      <c r="J143" s="663"/>
      <c r="K143" s="663"/>
      <c r="L143" s="664"/>
      <c r="M143" s="753">
        <f>ROUNDDOWN(V143,1)</f>
        <v>3</v>
      </c>
      <c r="N143" s="666">
        <f t="shared" ref="N143:N174" si="51">W143</f>
        <v>0.6</v>
      </c>
      <c r="O143" s="804">
        <f>ROUNDDOWN(X143,1)</f>
        <v>0</v>
      </c>
      <c r="P143" s="667">
        <f t="shared" ref="P143:P175" si="52">Y143</f>
        <v>0</v>
      </c>
      <c r="Q143" s="668"/>
      <c r="R143" s="586"/>
      <c r="S143" s="901"/>
      <c r="T143" s="586"/>
      <c r="V143" s="669">
        <f>SUMPRODUCT(V144:V145,W144:W145)</f>
        <v>2.9999999999999996</v>
      </c>
      <c r="W143" s="670">
        <f>重み!D143</f>
        <v>0.6</v>
      </c>
      <c r="X143" s="669">
        <f>SUMPRODUCT(X144:X145,Y144:Y145)</f>
        <v>0</v>
      </c>
      <c r="Y143" s="670">
        <f>重み!E143</f>
        <v>0</v>
      </c>
      <c r="Z143" s="641"/>
      <c r="AA143" s="586"/>
      <c r="AB143" s="617">
        <f>重み!M143</f>
        <v>0.6</v>
      </c>
      <c r="AC143" s="601"/>
      <c r="AD143" s="617">
        <f>重み!N143</f>
        <v>0</v>
      </c>
      <c r="AP143" s="2672">
        <f t="shared" si="49"/>
        <v>0</v>
      </c>
    </row>
    <row r="144" spans="2:58">
      <c r="B144" s="752"/>
      <c r="C144" s="902"/>
      <c r="D144" s="687">
        <v>1</v>
      </c>
      <c r="E144" s="676" t="s">
        <v>1394</v>
      </c>
      <c r="F144" s="729"/>
      <c r="G144" s="678"/>
      <c r="H144" s="2844"/>
      <c r="I144" s="2845"/>
      <c r="J144" s="2845"/>
      <c r="K144" s="2845"/>
      <c r="L144" s="2846"/>
      <c r="M144" s="691">
        <f>ROUNDDOWN(S144,1)</f>
        <v>3</v>
      </c>
      <c r="N144" s="806">
        <f t="shared" si="51"/>
        <v>0.7</v>
      </c>
      <c r="O144" s="807">
        <f>ROUNDDOWN(T144,1)</f>
        <v>0</v>
      </c>
      <c r="P144" s="667">
        <f t="shared" si="52"/>
        <v>0</v>
      </c>
      <c r="Q144" s="668"/>
      <c r="R144" s="586"/>
      <c r="S144" s="802">
        <f>採点LR2!F18</f>
        <v>3</v>
      </c>
      <c r="T144" s="893"/>
      <c r="V144" s="695">
        <f>M144</f>
        <v>3</v>
      </c>
      <c r="W144" s="670">
        <f>重み!D144</f>
        <v>0.7</v>
      </c>
      <c r="X144" s="742"/>
      <c r="Y144" s="670">
        <f>重み!E144</f>
        <v>0</v>
      </c>
      <c r="Z144" s="641"/>
      <c r="AA144" s="586"/>
      <c r="AB144" s="617">
        <f>重み!M144</f>
        <v>0.7</v>
      </c>
      <c r="AC144" s="601"/>
      <c r="AD144" s="617">
        <f>重み!N144</f>
        <v>0</v>
      </c>
      <c r="AP144" s="2672">
        <f t="shared" si="49"/>
        <v>0</v>
      </c>
    </row>
    <row r="145" spans="2:58" ht="14.25" thickBot="1">
      <c r="B145" s="810"/>
      <c r="C145" s="903"/>
      <c r="D145" s="687">
        <v>2</v>
      </c>
      <c r="E145" s="2864" t="s">
        <v>1395</v>
      </c>
      <c r="F145" s="2865"/>
      <c r="G145" s="678"/>
      <c r="H145" s="2844"/>
      <c r="I145" s="2845"/>
      <c r="J145" s="2845"/>
      <c r="K145" s="2845"/>
      <c r="L145" s="2846"/>
      <c r="M145" s="699">
        <f>ROUNDDOWN(S145,1)</f>
        <v>3</v>
      </c>
      <c r="N145" s="806">
        <f t="shared" si="51"/>
        <v>0.3</v>
      </c>
      <c r="O145" s="807">
        <f>ROUNDDOWN(T145,1)</f>
        <v>0</v>
      </c>
      <c r="P145" s="667">
        <f t="shared" si="52"/>
        <v>0</v>
      </c>
      <c r="Q145" s="668"/>
      <c r="R145" s="586"/>
      <c r="S145" s="802">
        <f>採点LR2!K18</f>
        <v>3</v>
      </c>
      <c r="T145" s="893"/>
      <c r="V145" s="695">
        <f>M145</f>
        <v>3</v>
      </c>
      <c r="W145" s="670">
        <f>重み!D145</f>
        <v>0.3</v>
      </c>
      <c r="X145" s="742"/>
      <c r="Y145" s="670">
        <f>重み!E145</f>
        <v>0</v>
      </c>
      <c r="Z145" s="641"/>
      <c r="AA145" s="586"/>
      <c r="AB145" s="617">
        <f>重み!M145</f>
        <v>0.3</v>
      </c>
      <c r="AC145" s="601"/>
      <c r="AD145" s="617">
        <f>重み!N145</f>
        <v>0</v>
      </c>
      <c r="AP145" s="2672">
        <f t="shared" si="49"/>
        <v>0</v>
      </c>
    </row>
    <row r="146" spans="2:58" ht="14.25" thickBot="1">
      <c r="B146" s="879">
        <v>2</v>
      </c>
      <c r="C146" s="2671" t="s">
        <v>1396</v>
      </c>
      <c r="D146" s="2671"/>
      <c r="E146" s="2671"/>
      <c r="F146" s="724"/>
      <c r="G146" s="678"/>
      <c r="H146" s="714"/>
      <c r="I146" s="715"/>
      <c r="J146" s="715"/>
      <c r="K146" s="715"/>
      <c r="L146" s="716"/>
      <c r="M146" s="753">
        <f>ROUNDDOWN(V146,1)</f>
        <v>3</v>
      </c>
      <c r="N146" s="718">
        <f t="shared" si="51"/>
        <v>0.6</v>
      </c>
      <c r="O146" s="844">
        <f>ROUNDDOWN(X146,1)</f>
        <v>0</v>
      </c>
      <c r="P146" s="719">
        <f t="shared" si="52"/>
        <v>0</v>
      </c>
      <c r="Q146" s="720">
        <f>ROUNDDOWN(Z146,1)</f>
        <v>3</v>
      </c>
      <c r="R146" s="586"/>
      <c r="S146" s="901"/>
      <c r="T146" s="586"/>
      <c r="V146" s="669">
        <f>V147*W147+V148*W148+V149*W149+V150*W150+V151*W151+V152*W152</f>
        <v>3.0000000000000004</v>
      </c>
      <c r="W146" s="670">
        <f>重み!D146</f>
        <v>0.6</v>
      </c>
      <c r="X146" s="669">
        <f>X147*Y147+X148*Y148+X149*Y149+X150*Y150+X151*Y151+X152*Y152</f>
        <v>0</v>
      </c>
      <c r="Y146" s="670">
        <f>重み!E146</f>
        <v>0</v>
      </c>
      <c r="Z146" s="641">
        <f>IF(X146=0,V146,IF(V146=0,X146,V146*AB$6+X146*AD$6))</f>
        <v>3.0000000000000004</v>
      </c>
      <c r="AA146" s="586"/>
      <c r="AB146" s="617">
        <f>重み!M146</f>
        <v>0.6</v>
      </c>
      <c r="AC146" s="601"/>
      <c r="AD146" s="617">
        <f>重み!N146</f>
        <v>0</v>
      </c>
      <c r="AF146" s="2643">
        <v>3</v>
      </c>
      <c r="AG146" s="2643"/>
      <c r="AH146" s="2643"/>
      <c r="AI146" s="2643"/>
      <c r="AJ146" s="2643"/>
      <c r="AK146" s="2643">
        <v>4</v>
      </c>
      <c r="AL146" s="2643"/>
      <c r="AM146" s="2643"/>
      <c r="AN146" s="2643"/>
      <c r="AO146" s="2643"/>
      <c r="AP146" s="2640">
        <f t="shared" si="49"/>
        <v>3</v>
      </c>
      <c r="AQ146" s="921">
        <f>N146</f>
        <v>0.6</v>
      </c>
      <c r="AR146" s="720"/>
      <c r="AS146" s="2614"/>
      <c r="AT146" s="2639">
        <f>SUMPRODUCT($AW$7:$BF$7,AF146:AO146)/AV146</f>
        <v>3</v>
      </c>
      <c r="AV146" s="2638">
        <f>SUMPRODUCT($AW$7:$BF$7,AW146:BF146)</f>
        <v>1</v>
      </c>
      <c r="AW146" s="2624">
        <f t="shared" ref="AW146:BF146" si="53">IF(AF146&gt;0,1,0)</f>
        <v>1</v>
      </c>
      <c r="AX146" s="2624">
        <f t="shared" si="53"/>
        <v>0</v>
      </c>
      <c r="AY146" s="2624">
        <f t="shared" si="53"/>
        <v>0</v>
      </c>
      <c r="AZ146" s="2624">
        <f t="shared" si="53"/>
        <v>0</v>
      </c>
      <c r="BA146" s="2624">
        <f t="shared" si="53"/>
        <v>0</v>
      </c>
      <c r="BB146" s="2624">
        <f t="shared" si="53"/>
        <v>1</v>
      </c>
      <c r="BC146" s="2624">
        <f t="shared" si="53"/>
        <v>0</v>
      </c>
      <c r="BD146" s="2624">
        <f t="shared" si="53"/>
        <v>0</v>
      </c>
      <c r="BE146" s="2624">
        <f t="shared" si="53"/>
        <v>0</v>
      </c>
      <c r="BF146" s="2624">
        <f t="shared" si="53"/>
        <v>0</v>
      </c>
    </row>
    <row r="147" spans="2:58">
      <c r="B147" s="883"/>
      <c r="C147" s="710">
        <v>2.1</v>
      </c>
      <c r="D147" s="829" t="s">
        <v>1397</v>
      </c>
      <c r="E147" s="676"/>
      <c r="F147" s="729"/>
      <c r="G147" s="678"/>
      <c r="H147" s="2844"/>
      <c r="I147" s="2845"/>
      <c r="J147" s="2845"/>
      <c r="K147" s="2845"/>
      <c r="L147" s="2846"/>
      <c r="M147" s="691">
        <f t="shared" ref="M147:M152" si="54">ROUNDDOWN(S147,1)</f>
        <v>3</v>
      </c>
      <c r="N147" s="806">
        <f t="shared" si="51"/>
        <v>0.1</v>
      </c>
      <c r="O147" s="807">
        <f t="shared" ref="O147:O152" si="55">ROUNDDOWN(T147,1)</f>
        <v>0</v>
      </c>
      <c r="P147" s="667">
        <f t="shared" si="52"/>
        <v>0</v>
      </c>
      <c r="Q147" s="668"/>
      <c r="R147" s="586"/>
      <c r="S147" s="904">
        <f>採点LR2!F29</f>
        <v>3</v>
      </c>
      <c r="T147" s="893"/>
      <c r="V147" s="905">
        <f t="shared" ref="V147:V152" si="56">M147</f>
        <v>3</v>
      </c>
      <c r="W147" s="670">
        <f>重み!D147</f>
        <v>0.1</v>
      </c>
      <c r="X147" s="742"/>
      <c r="Y147" s="670">
        <f>重み!E147</f>
        <v>0</v>
      </c>
      <c r="Z147" s="641"/>
      <c r="AA147" s="586"/>
      <c r="AB147" s="617">
        <f>重み!M147</f>
        <v>0.1</v>
      </c>
      <c r="AC147" s="601"/>
      <c r="AD147" s="617">
        <f>重み!N147</f>
        <v>0</v>
      </c>
      <c r="AP147" s="2672">
        <f t="shared" si="49"/>
        <v>0</v>
      </c>
    </row>
    <row r="148" spans="2:58">
      <c r="B148" s="759"/>
      <c r="C148" s="710">
        <v>2.2000000000000002</v>
      </c>
      <c r="D148" s="829" t="s">
        <v>1398</v>
      </c>
      <c r="E148" s="676"/>
      <c r="F148" s="729"/>
      <c r="G148" s="678">
        <v>5</v>
      </c>
      <c r="H148" s="2844"/>
      <c r="I148" s="2845"/>
      <c r="J148" s="2845"/>
      <c r="K148" s="2845"/>
      <c r="L148" s="2846"/>
      <c r="M148" s="706">
        <f t="shared" si="54"/>
        <v>3</v>
      </c>
      <c r="N148" s="806">
        <f t="shared" si="51"/>
        <v>0.2</v>
      </c>
      <c r="O148" s="807">
        <f t="shared" si="55"/>
        <v>0</v>
      </c>
      <c r="P148" s="667">
        <f t="shared" si="52"/>
        <v>0</v>
      </c>
      <c r="Q148" s="668"/>
      <c r="R148" s="586"/>
      <c r="S148" s="906">
        <f>採点LR2!F51</f>
        <v>3</v>
      </c>
      <c r="T148" s="586"/>
      <c r="V148" s="905">
        <f t="shared" si="56"/>
        <v>3</v>
      </c>
      <c r="W148" s="670">
        <f>重み!D148</f>
        <v>0.2</v>
      </c>
      <c r="X148" s="742"/>
      <c r="Y148" s="670">
        <f>重み!E148</f>
        <v>0</v>
      </c>
      <c r="Z148" s="641"/>
      <c r="AA148" s="586"/>
      <c r="AB148" s="617">
        <f>重み!M148</f>
        <v>0.2</v>
      </c>
      <c r="AC148" s="601"/>
      <c r="AD148" s="617">
        <f>重み!N148</f>
        <v>0</v>
      </c>
      <c r="AP148" s="2672">
        <f t="shared" si="49"/>
        <v>0</v>
      </c>
    </row>
    <row r="149" spans="2:58">
      <c r="B149" s="752"/>
      <c r="C149" s="710">
        <v>2.2999999999999998</v>
      </c>
      <c r="D149" s="676" t="s">
        <v>1399</v>
      </c>
      <c r="E149" s="676"/>
      <c r="F149" s="729"/>
      <c r="G149" s="678"/>
      <c r="H149" s="2844">
        <f>採点LR2!K67</f>
        <v>0</v>
      </c>
      <c r="I149" s="2872"/>
      <c r="J149" s="2872"/>
      <c r="K149" s="2872"/>
      <c r="L149" s="2873"/>
      <c r="M149" s="706">
        <f t="shared" si="54"/>
        <v>3</v>
      </c>
      <c r="N149" s="806">
        <f t="shared" si="51"/>
        <v>0.2</v>
      </c>
      <c r="O149" s="807">
        <f t="shared" si="55"/>
        <v>0</v>
      </c>
      <c r="P149" s="667">
        <f t="shared" si="52"/>
        <v>0</v>
      </c>
      <c r="Q149" s="668"/>
      <c r="R149" s="586"/>
      <c r="S149" s="904">
        <f>採点LR2!F60</f>
        <v>3</v>
      </c>
      <c r="T149" s="893"/>
      <c r="V149" s="905">
        <f t="shared" si="56"/>
        <v>3</v>
      </c>
      <c r="W149" s="670">
        <f>重み!D149</f>
        <v>0.2</v>
      </c>
      <c r="X149" s="742"/>
      <c r="Y149" s="670">
        <f>重み!E149</f>
        <v>0</v>
      </c>
      <c r="Z149" s="641"/>
      <c r="AA149" s="586"/>
      <c r="AB149" s="617">
        <f>重み!M149</f>
        <v>0.2</v>
      </c>
      <c r="AC149" s="601"/>
      <c r="AD149" s="617">
        <f>重み!N149</f>
        <v>0</v>
      </c>
      <c r="AP149" s="2672">
        <f t="shared" si="49"/>
        <v>0</v>
      </c>
    </row>
    <row r="150" spans="2:58">
      <c r="B150" s="752"/>
      <c r="C150" s="710">
        <v>2.4</v>
      </c>
      <c r="D150" s="2856" t="s">
        <v>67</v>
      </c>
      <c r="E150" s="2857"/>
      <c r="F150" s="2865"/>
      <c r="G150" s="678"/>
      <c r="H150" s="2844">
        <f>採点LR2!K92</f>
        <v>0</v>
      </c>
      <c r="I150" s="2872"/>
      <c r="J150" s="2872"/>
      <c r="K150" s="2872"/>
      <c r="L150" s="2873"/>
      <c r="M150" s="706">
        <f t="shared" si="54"/>
        <v>3</v>
      </c>
      <c r="N150" s="806">
        <f t="shared" si="51"/>
        <v>0.2</v>
      </c>
      <c r="O150" s="807">
        <f t="shared" si="55"/>
        <v>0</v>
      </c>
      <c r="P150" s="667">
        <f t="shared" si="52"/>
        <v>0</v>
      </c>
      <c r="Q150" s="668"/>
      <c r="R150" s="586"/>
      <c r="S150" s="904">
        <f>採点LR2!F85</f>
        <v>3</v>
      </c>
      <c r="T150" s="893"/>
      <c r="V150" s="905">
        <f t="shared" si="56"/>
        <v>3</v>
      </c>
      <c r="W150" s="670">
        <f>重み!D150</f>
        <v>0.2</v>
      </c>
      <c r="X150" s="742"/>
      <c r="Y150" s="670">
        <f>重み!E150</f>
        <v>0</v>
      </c>
      <c r="Z150" s="641"/>
      <c r="AA150" s="586"/>
      <c r="AB150" s="617">
        <f>重み!M150</f>
        <v>0.2</v>
      </c>
      <c r="AC150" s="601"/>
      <c r="AD150" s="617">
        <f>重み!N150</f>
        <v>0</v>
      </c>
      <c r="AP150" s="2672">
        <f t="shared" si="49"/>
        <v>0</v>
      </c>
    </row>
    <row r="151" spans="2:58">
      <c r="B151" s="759"/>
      <c r="C151" s="710">
        <v>2.5</v>
      </c>
      <c r="D151" s="829" t="s">
        <v>1400</v>
      </c>
      <c r="E151" s="676"/>
      <c r="F151" s="729"/>
      <c r="G151" s="678">
        <v>5</v>
      </c>
      <c r="H151" s="2844"/>
      <c r="I151" s="2845"/>
      <c r="J151" s="2845"/>
      <c r="K151" s="2845"/>
      <c r="L151" s="2846"/>
      <c r="M151" s="706">
        <f t="shared" si="54"/>
        <v>3</v>
      </c>
      <c r="N151" s="806">
        <f t="shared" si="51"/>
        <v>0.1</v>
      </c>
      <c r="O151" s="807">
        <f t="shared" si="55"/>
        <v>0</v>
      </c>
      <c r="P151" s="667">
        <f t="shared" si="52"/>
        <v>0</v>
      </c>
      <c r="Q151" s="668"/>
      <c r="R151" s="586"/>
      <c r="S151" s="904">
        <f>採点LR2!F144</f>
        <v>3</v>
      </c>
      <c r="T151" s="893"/>
      <c r="V151" s="905">
        <f t="shared" si="56"/>
        <v>3</v>
      </c>
      <c r="W151" s="670">
        <f>重み!D151</f>
        <v>0.1</v>
      </c>
      <c r="X151" s="742"/>
      <c r="Y151" s="670">
        <f>重み!E151</f>
        <v>0</v>
      </c>
      <c r="Z151" s="641"/>
      <c r="AA151" s="586"/>
      <c r="AB151" s="617">
        <f>重み!M151</f>
        <v>0.1</v>
      </c>
      <c r="AC151" s="601"/>
      <c r="AD151" s="617">
        <f>重み!N151</f>
        <v>0</v>
      </c>
      <c r="AP151" s="2672">
        <f t="shared" si="49"/>
        <v>0</v>
      </c>
    </row>
    <row r="152" spans="2:58" ht="14.25" thickBot="1">
      <c r="B152" s="907"/>
      <c r="C152" s="710">
        <v>2.6</v>
      </c>
      <c r="D152" s="829" t="s">
        <v>1401</v>
      </c>
      <c r="E152" s="676"/>
      <c r="F152" s="729"/>
      <c r="G152" s="678">
        <v>5</v>
      </c>
      <c r="H152" s="2844"/>
      <c r="I152" s="2845"/>
      <c r="J152" s="2845"/>
      <c r="K152" s="2845"/>
      <c r="L152" s="2846"/>
      <c r="M152" s="699">
        <f t="shared" si="54"/>
        <v>3</v>
      </c>
      <c r="N152" s="806">
        <f t="shared" si="51"/>
        <v>0.2</v>
      </c>
      <c r="O152" s="807">
        <f t="shared" si="55"/>
        <v>0</v>
      </c>
      <c r="P152" s="667">
        <f t="shared" si="52"/>
        <v>0</v>
      </c>
      <c r="Q152" s="668"/>
      <c r="R152" s="586"/>
      <c r="S152" s="908">
        <f>採点LR2!F153</f>
        <v>3</v>
      </c>
      <c r="T152" s="586"/>
      <c r="V152" s="905">
        <f t="shared" si="56"/>
        <v>3</v>
      </c>
      <c r="W152" s="670">
        <f>重み!D152</f>
        <v>0.2</v>
      </c>
      <c r="X152" s="742"/>
      <c r="Y152" s="670">
        <f>重み!E152</f>
        <v>0</v>
      </c>
      <c r="Z152" s="641"/>
      <c r="AA152" s="586"/>
      <c r="AB152" s="617">
        <f>重み!M152</f>
        <v>0.2</v>
      </c>
      <c r="AC152" s="601"/>
      <c r="AD152" s="617">
        <f>重み!N152</f>
        <v>0</v>
      </c>
      <c r="AP152" s="2672">
        <f t="shared" si="49"/>
        <v>0</v>
      </c>
    </row>
    <row r="153" spans="2:58" ht="14.25" thickBot="1">
      <c r="B153" s="879">
        <v>3</v>
      </c>
      <c r="C153" s="2671" t="s">
        <v>1402</v>
      </c>
      <c r="D153" s="829"/>
      <c r="E153" s="676"/>
      <c r="F153" s="729"/>
      <c r="G153" s="678"/>
      <c r="H153" s="714"/>
      <c r="I153" s="715"/>
      <c r="J153" s="715"/>
      <c r="K153" s="715"/>
      <c r="L153" s="716"/>
      <c r="M153" s="753">
        <f>ROUNDDOWN(V153,1)</f>
        <v>3.2</v>
      </c>
      <c r="N153" s="718">
        <f t="shared" si="51"/>
        <v>0.2</v>
      </c>
      <c r="O153" s="844">
        <f>ROUNDDOWN(X153,1)</f>
        <v>0</v>
      </c>
      <c r="P153" s="719">
        <f t="shared" si="52"/>
        <v>0</v>
      </c>
      <c r="Q153" s="720">
        <f>ROUNDDOWN(Z153,1)</f>
        <v>3.2</v>
      </c>
      <c r="R153" s="586"/>
      <c r="S153" s="909"/>
      <c r="T153" s="586"/>
      <c r="V153" s="669">
        <f>V154*W154+V155*W155</f>
        <v>3.2333333333333329</v>
      </c>
      <c r="W153" s="670">
        <f>重み!D153</f>
        <v>0.2</v>
      </c>
      <c r="X153" s="669">
        <f>X154*Y154+X155*Y155</f>
        <v>0</v>
      </c>
      <c r="Y153" s="670">
        <f>重み!E153</f>
        <v>0</v>
      </c>
      <c r="Z153" s="641">
        <f>IF(X153=0,V153,IF(V153=0,X153,V153*AB$6+X153*AD$6))</f>
        <v>3.2333333333333329</v>
      </c>
      <c r="AA153" s="586"/>
      <c r="AB153" s="617">
        <f>重み!M153</f>
        <v>0.2</v>
      </c>
      <c r="AC153" s="601"/>
      <c r="AD153" s="617">
        <f>重み!N153</f>
        <v>0</v>
      </c>
      <c r="AF153" s="2643">
        <v>3</v>
      </c>
      <c r="AG153" s="2643"/>
      <c r="AH153" s="2643"/>
      <c r="AI153" s="2643"/>
      <c r="AJ153" s="2643"/>
      <c r="AK153" s="2643">
        <v>4</v>
      </c>
      <c r="AL153" s="2643"/>
      <c r="AM153" s="2643"/>
      <c r="AN153" s="2643"/>
      <c r="AO153" s="2643"/>
      <c r="AP153" s="2640">
        <f t="shared" si="49"/>
        <v>3</v>
      </c>
      <c r="AQ153" s="921">
        <f>N153</f>
        <v>0.2</v>
      </c>
      <c r="AR153" s="720"/>
      <c r="AS153" s="2614"/>
      <c r="AT153" s="2639">
        <f>SUMPRODUCT($AW$7:$BF$7,AF153:AO153)/AV153</f>
        <v>3</v>
      </c>
      <c r="AV153" s="2638">
        <f>SUMPRODUCT($AW$7:$BF$7,AW153:BF153)</f>
        <v>1</v>
      </c>
      <c r="AW153" s="2624">
        <f t="shared" ref="AW153:BF153" si="57">IF(AF153&gt;0,1,0)</f>
        <v>1</v>
      </c>
      <c r="AX153" s="2624">
        <f t="shared" si="57"/>
        <v>0</v>
      </c>
      <c r="AY153" s="2624">
        <f t="shared" si="57"/>
        <v>0</v>
      </c>
      <c r="AZ153" s="2624">
        <f t="shared" si="57"/>
        <v>0</v>
      </c>
      <c r="BA153" s="2624">
        <f t="shared" si="57"/>
        <v>0</v>
      </c>
      <c r="BB153" s="2624">
        <f t="shared" si="57"/>
        <v>1</v>
      </c>
      <c r="BC153" s="2624">
        <f t="shared" si="57"/>
        <v>0</v>
      </c>
      <c r="BD153" s="2624">
        <f t="shared" si="57"/>
        <v>0</v>
      </c>
      <c r="BE153" s="2624">
        <f t="shared" si="57"/>
        <v>0</v>
      </c>
      <c r="BF153" s="2624">
        <f t="shared" si="57"/>
        <v>0</v>
      </c>
    </row>
    <row r="154" spans="2:58" ht="14.25" thickBot="1">
      <c r="B154" s="759"/>
      <c r="C154" s="710">
        <v>3.1</v>
      </c>
      <c r="D154" s="829" t="s">
        <v>1403</v>
      </c>
      <c r="E154" s="676"/>
      <c r="F154" s="729"/>
      <c r="G154" s="678">
        <v>5</v>
      </c>
      <c r="H154" s="2844"/>
      <c r="I154" s="2845"/>
      <c r="J154" s="2845"/>
      <c r="K154" s="2845"/>
      <c r="L154" s="2846"/>
      <c r="M154" s="910">
        <f>ROUNDDOWN(S154,1)</f>
        <v>3</v>
      </c>
      <c r="N154" s="806">
        <f t="shared" si="51"/>
        <v>0.3</v>
      </c>
      <c r="O154" s="807">
        <f>ROUNDDOWN(T154,1)</f>
        <v>0</v>
      </c>
      <c r="P154" s="667">
        <f t="shared" si="52"/>
        <v>0</v>
      </c>
      <c r="Q154" s="668"/>
      <c r="R154" s="586"/>
      <c r="S154" s="911">
        <f>採点LR2!F169</f>
        <v>3</v>
      </c>
      <c r="T154" s="586"/>
      <c r="V154" s="905">
        <f>M154</f>
        <v>3</v>
      </c>
      <c r="W154" s="670">
        <f>重み!D154</f>
        <v>0.3</v>
      </c>
      <c r="X154" s="742"/>
      <c r="Y154" s="670">
        <f>重み!E154</f>
        <v>0</v>
      </c>
      <c r="Z154" s="641"/>
      <c r="AA154" s="586"/>
      <c r="AB154" s="617">
        <f>重み!M154</f>
        <v>0.3</v>
      </c>
      <c r="AC154" s="601"/>
      <c r="AD154" s="617">
        <f>重み!N154</f>
        <v>0</v>
      </c>
    </row>
    <row r="155" spans="2:58" ht="14.25" thickBot="1">
      <c r="B155" s="759"/>
      <c r="C155" s="674">
        <v>3.2</v>
      </c>
      <c r="D155" s="829" t="s">
        <v>1404</v>
      </c>
      <c r="E155" s="675"/>
      <c r="F155" s="724"/>
      <c r="G155" s="678">
        <v>5</v>
      </c>
      <c r="H155" s="662"/>
      <c r="I155" s="663"/>
      <c r="J155" s="663"/>
      <c r="K155" s="663"/>
      <c r="L155" s="912"/>
      <c r="M155" s="753">
        <f>ROUNDDOWN(V155,1)</f>
        <v>3.3</v>
      </c>
      <c r="N155" s="666">
        <f t="shared" si="51"/>
        <v>0.7</v>
      </c>
      <c r="O155" s="804">
        <f>ROUNDDOWN(X155,1)</f>
        <v>0</v>
      </c>
      <c r="P155" s="851">
        <f t="shared" si="52"/>
        <v>0</v>
      </c>
      <c r="Q155" s="668"/>
      <c r="R155" s="586"/>
      <c r="S155" s="913"/>
      <c r="T155" s="586"/>
      <c r="V155" s="669">
        <f>SUMPRODUCT(V156:V158,W156:W158)</f>
        <v>3.333333333333333</v>
      </c>
      <c r="W155" s="670">
        <f>重み!D155</f>
        <v>0.7</v>
      </c>
      <c r="X155" s="669">
        <f>SUMPRODUCT(X156:X158,Y156:Y158)</f>
        <v>0</v>
      </c>
      <c r="Y155" s="670">
        <f>重み!E155</f>
        <v>0</v>
      </c>
      <c r="Z155" s="641"/>
      <c r="AA155" s="586"/>
      <c r="AB155" s="617">
        <f>重み!M155</f>
        <v>0.7</v>
      </c>
      <c r="AC155" s="601"/>
      <c r="AD155" s="617">
        <f>重み!N155</f>
        <v>0</v>
      </c>
    </row>
    <row r="156" spans="2:58">
      <c r="B156" s="759"/>
      <c r="C156" s="686"/>
      <c r="D156" s="687">
        <v>1</v>
      </c>
      <c r="E156" s="676" t="s">
        <v>158</v>
      </c>
      <c r="F156" s="729"/>
      <c r="G156" s="678"/>
      <c r="H156" s="2844"/>
      <c r="I156" s="2845"/>
      <c r="J156" s="2845"/>
      <c r="K156" s="2845"/>
      <c r="L156" s="2846"/>
      <c r="M156" s="691">
        <f>ROUNDDOWN(S156,1)</f>
        <v>4</v>
      </c>
      <c r="N156" s="806">
        <f t="shared" si="51"/>
        <v>0.33333333333333331</v>
      </c>
      <c r="O156" s="807">
        <f>ROUNDDOWN(T156,1)</f>
        <v>0</v>
      </c>
      <c r="P156" s="667">
        <f t="shared" si="52"/>
        <v>0</v>
      </c>
      <c r="Q156" s="668"/>
      <c r="R156" s="586"/>
      <c r="S156" s="904">
        <f>採点LR2!F202</f>
        <v>4</v>
      </c>
      <c r="T156" s="893"/>
      <c r="V156" s="905">
        <f>M156</f>
        <v>4</v>
      </c>
      <c r="W156" s="670">
        <f>重み!D156</f>
        <v>0.33333333333333331</v>
      </c>
      <c r="X156" s="742"/>
      <c r="Y156" s="670">
        <f>重み!E156</f>
        <v>0</v>
      </c>
      <c r="Z156" s="641"/>
      <c r="AA156" s="586"/>
      <c r="AB156" s="617">
        <f>重み!M156</f>
        <v>0.33333333333333331</v>
      </c>
      <c r="AC156" s="601"/>
      <c r="AD156" s="617">
        <f>重み!N156</f>
        <v>0</v>
      </c>
    </row>
    <row r="157" spans="2:58">
      <c r="B157" s="759"/>
      <c r="C157" s="686"/>
      <c r="D157" s="687">
        <v>2</v>
      </c>
      <c r="E157" s="676" t="s">
        <v>159</v>
      </c>
      <c r="F157" s="729"/>
      <c r="G157" s="678"/>
      <c r="H157" s="2844"/>
      <c r="I157" s="2845"/>
      <c r="J157" s="2845"/>
      <c r="K157" s="2845"/>
      <c r="L157" s="2846"/>
      <c r="M157" s="706">
        <f>ROUNDDOWN(S157,1)</f>
        <v>3</v>
      </c>
      <c r="N157" s="806">
        <f t="shared" si="51"/>
        <v>0.33333333333333331</v>
      </c>
      <c r="O157" s="807">
        <f>ROUNDDOWN(T157,1)</f>
        <v>0</v>
      </c>
      <c r="P157" s="667">
        <f t="shared" si="52"/>
        <v>0</v>
      </c>
      <c r="Q157" s="668"/>
      <c r="R157" s="586"/>
      <c r="S157" s="904">
        <f>採点LR2!K202</f>
        <v>3</v>
      </c>
      <c r="T157" s="893"/>
      <c r="V157" s="905">
        <f>M157</f>
        <v>3</v>
      </c>
      <c r="W157" s="670">
        <f>重み!D157</f>
        <v>0.33333333333333331</v>
      </c>
      <c r="X157" s="742"/>
      <c r="Y157" s="670">
        <f>重み!E157</f>
        <v>0</v>
      </c>
      <c r="Z157" s="641"/>
      <c r="AA157" s="586"/>
      <c r="AB157" s="617">
        <f>重み!M157</f>
        <v>0.33333333333333331</v>
      </c>
      <c r="AC157" s="601"/>
      <c r="AD157" s="617">
        <f>重み!N157</f>
        <v>0</v>
      </c>
    </row>
    <row r="158" spans="2:58" ht="14.25" thickBot="1">
      <c r="B158" s="914"/>
      <c r="C158" s="771"/>
      <c r="D158" s="831">
        <v>3</v>
      </c>
      <c r="E158" s="772" t="s">
        <v>160</v>
      </c>
      <c r="F158" s="773"/>
      <c r="G158" s="774"/>
      <c r="H158" s="2844"/>
      <c r="I158" s="2845"/>
      <c r="J158" s="2845"/>
      <c r="K158" s="2845"/>
      <c r="L158" s="2846"/>
      <c r="M158" s="699">
        <f>ROUNDDOWN(S158,1)</f>
        <v>3</v>
      </c>
      <c r="N158" s="832">
        <f t="shared" si="51"/>
        <v>0.33333333333333331</v>
      </c>
      <c r="O158" s="833">
        <f>ROUNDDOWN(T158,1)</f>
        <v>0</v>
      </c>
      <c r="P158" s="834">
        <f t="shared" si="52"/>
        <v>0</v>
      </c>
      <c r="Q158" s="775"/>
      <c r="R158" s="586"/>
      <c r="S158" s="908">
        <f>採点LR2!F211</f>
        <v>3</v>
      </c>
      <c r="T158" s="586"/>
      <c r="V158" s="905">
        <f>M158</f>
        <v>3</v>
      </c>
      <c r="W158" s="670">
        <f>重み!D158</f>
        <v>0.33333333333333331</v>
      </c>
      <c r="X158" s="742"/>
      <c r="Y158" s="670">
        <f>重み!E158</f>
        <v>0</v>
      </c>
      <c r="Z158" s="641"/>
      <c r="AA158" s="586"/>
      <c r="AB158" s="617">
        <f>重み!M158</f>
        <v>0.33333333333333331</v>
      </c>
      <c r="AC158" s="601"/>
      <c r="AD158" s="617">
        <f>重み!N158</f>
        <v>0</v>
      </c>
    </row>
    <row r="159" spans="2:58" ht="15.75" thickBot="1">
      <c r="B159" s="777" t="s">
        <v>2091</v>
      </c>
      <c r="C159" s="835" t="s">
        <v>2092</v>
      </c>
      <c r="D159" s="835"/>
      <c r="E159" s="835"/>
      <c r="F159" s="836"/>
      <c r="G159" s="837"/>
      <c r="H159" s="782"/>
      <c r="I159" s="783"/>
      <c r="J159" s="783"/>
      <c r="K159" s="783"/>
      <c r="L159" s="784"/>
      <c r="M159" s="915">
        <f>ROUNDDOWN(V159,1)</f>
        <v>0</v>
      </c>
      <c r="N159" s="786">
        <f t="shared" si="51"/>
        <v>0.3</v>
      </c>
      <c r="O159" s="787">
        <f>ROUNDDOWN(X159,1)</f>
        <v>0</v>
      </c>
      <c r="P159" s="788">
        <f t="shared" si="52"/>
        <v>0</v>
      </c>
      <c r="Q159" s="789">
        <f>ROUNDDOWN(Z159,1)</f>
        <v>3</v>
      </c>
      <c r="R159" s="586"/>
      <c r="S159" s="913"/>
      <c r="T159" s="586"/>
      <c r="V159" s="742"/>
      <c r="W159" s="654">
        <f>重み!D159</f>
        <v>0.3</v>
      </c>
      <c r="X159" s="742"/>
      <c r="Y159" s="654"/>
      <c r="Z159" s="641">
        <f>W160*Z160+W161*Z161+W169*Z169</f>
        <v>3.0666666666666664</v>
      </c>
      <c r="AA159" s="586"/>
      <c r="AB159" s="617">
        <f>重み!M159</f>
        <v>0.3</v>
      </c>
      <c r="AC159" s="601"/>
      <c r="AD159" s="617">
        <f>重み!N159</f>
        <v>0</v>
      </c>
      <c r="AF159" s="2670"/>
      <c r="AG159" s="2656"/>
      <c r="AH159" s="2656"/>
      <c r="AI159" s="2656"/>
      <c r="AJ159" s="2656"/>
      <c r="AK159" s="2656"/>
      <c r="AL159" s="2656"/>
      <c r="AM159" s="2656"/>
      <c r="AN159" s="2656"/>
      <c r="AO159" s="2657"/>
      <c r="AP159" s="2658"/>
      <c r="AQ159" s="2659">
        <f>N159</f>
        <v>0.3</v>
      </c>
      <c r="AR159" s="789">
        <f t="shared" ref="AR159" si="58">ROUNDDOWN(AT159,1)</f>
        <v>3</v>
      </c>
      <c r="AT159" s="2639">
        <f>SUMPRODUCT(AQ160:AQ180,AT160:AT180)</f>
        <v>3.0666666666666664</v>
      </c>
    </row>
    <row r="160" spans="2:58" ht="14.25" thickBot="1">
      <c r="B160" s="916">
        <v>1</v>
      </c>
      <c r="C160" s="658" t="s">
        <v>747</v>
      </c>
      <c r="D160" s="845"/>
      <c r="E160" s="845"/>
      <c r="F160" s="766"/>
      <c r="G160" s="661"/>
      <c r="H160" s="2844"/>
      <c r="I160" s="2845"/>
      <c r="J160" s="2845"/>
      <c r="K160" s="2845"/>
      <c r="L160" s="2846"/>
      <c r="M160" s="878">
        <f>ROUNDDOWN(S160,1)</f>
        <v>3.2</v>
      </c>
      <c r="N160" s="806">
        <f>W160</f>
        <v>0.33333333333333331</v>
      </c>
      <c r="O160" s="804">
        <f>ROUNDDOWN(T160,1)</f>
        <v>0</v>
      </c>
      <c r="P160" s="667">
        <f t="shared" si="52"/>
        <v>0</v>
      </c>
      <c r="Q160" s="668">
        <f>ROUNDDOWN(Z160,1)</f>
        <v>3.2</v>
      </c>
      <c r="R160" s="586"/>
      <c r="S160" s="904">
        <f>採点LR3!F7</f>
        <v>3.2</v>
      </c>
      <c r="T160" s="893"/>
      <c r="V160" s="905">
        <f>M160</f>
        <v>3.2</v>
      </c>
      <c r="W160" s="670">
        <f>重み!D160</f>
        <v>0.33333333333333331</v>
      </c>
      <c r="X160" s="742"/>
      <c r="Y160" s="670">
        <f>重み!E160</f>
        <v>0</v>
      </c>
      <c r="Z160" s="641">
        <f>IF(X160=0,V160,IF(V160=0,X160,V160*AB$6+X160*AD$6))</f>
        <v>3.2</v>
      </c>
      <c r="AA160" s="586"/>
      <c r="AB160" s="617">
        <f>重み!M160</f>
        <v>0.33333333333333331</v>
      </c>
      <c r="AC160" s="601"/>
      <c r="AD160" s="617">
        <f>重み!N160</f>
        <v>0</v>
      </c>
      <c r="AF160" s="2643"/>
      <c r="AG160" s="2643"/>
      <c r="AH160" s="2643"/>
      <c r="AI160" s="2643"/>
      <c r="AJ160" s="2643"/>
      <c r="AK160" s="2643">
        <v>4</v>
      </c>
      <c r="AL160" s="2643"/>
      <c r="AM160" s="2643"/>
      <c r="AN160" s="2643"/>
      <c r="AO160" s="2643"/>
      <c r="AP160" s="2640">
        <f t="shared" ref="AP160:AP169" si="59">ROUNDDOWN(AT160,1)</f>
        <v>3.2</v>
      </c>
      <c r="AQ160" s="921">
        <f>N160</f>
        <v>0.33333333333333331</v>
      </c>
      <c r="AR160" s="720"/>
      <c r="AS160" s="2614"/>
      <c r="AT160" s="2673">
        <f>S160</f>
        <v>3.2</v>
      </c>
      <c r="AV160" s="2638">
        <f>SUMPRODUCT($AW$7:$BF$7,AW160:BF160)</f>
        <v>0</v>
      </c>
      <c r="AW160" s="2624">
        <f t="shared" ref="AW160:BF161" si="60">IF(AF160&gt;0,1,0)</f>
        <v>0</v>
      </c>
      <c r="AX160" s="2624">
        <f t="shared" si="60"/>
        <v>0</v>
      </c>
      <c r="AY160" s="2624">
        <f t="shared" si="60"/>
        <v>0</v>
      </c>
      <c r="AZ160" s="2624">
        <f t="shared" si="60"/>
        <v>0</v>
      </c>
      <c r="BA160" s="2624">
        <f t="shared" si="60"/>
        <v>0</v>
      </c>
      <c r="BB160" s="2624">
        <f t="shared" si="60"/>
        <v>1</v>
      </c>
      <c r="BC160" s="2624">
        <f t="shared" si="60"/>
        <v>0</v>
      </c>
      <c r="BD160" s="2624">
        <f t="shared" si="60"/>
        <v>0</v>
      </c>
      <c r="BE160" s="2624">
        <f t="shared" si="60"/>
        <v>0</v>
      </c>
      <c r="BF160" s="2624">
        <f t="shared" si="60"/>
        <v>0</v>
      </c>
    </row>
    <row r="161" spans="2:58" ht="14.25" thickBot="1">
      <c r="B161" s="917">
        <v>2</v>
      </c>
      <c r="C161" s="712" t="s">
        <v>748</v>
      </c>
      <c r="D161" s="712"/>
      <c r="E161" s="712"/>
      <c r="F161" s="729"/>
      <c r="G161" s="678">
        <v>5</v>
      </c>
      <c r="H161" s="881"/>
      <c r="I161" s="882"/>
      <c r="J161" s="882"/>
      <c r="K161" s="882"/>
      <c r="L161" s="882"/>
      <c r="M161" s="918">
        <f>ROUNDDOWN(V161,1)</f>
        <v>3</v>
      </c>
      <c r="N161" s="919">
        <f t="shared" si="51"/>
        <v>0.33333333333333331</v>
      </c>
      <c r="O161" s="920">
        <f>ROUNDDOWN(X161,1)</f>
        <v>0</v>
      </c>
      <c r="P161" s="921">
        <f t="shared" si="52"/>
        <v>0</v>
      </c>
      <c r="Q161" s="720">
        <f>ROUNDDOWN(Z161,1)</f>
        <v>3</v>
      </c>
      <c r="R161" s="586"/>
      <c r="S161" s="922"/>
      <c r="T161" s="586"/>
      <c r="V161" s="669">
        <f>SUMPRODUCT(V162:V164,W162:W164)</f>
        <v>3</v>
      </c>
      <c r="W161" s="670">
        <f>重み!D161</f>
        <v>0.33333333333333331</v>
      </c>
      <c r="X161" s="669">
        <f>SUMPRODUCT(X162:X164,Y162:Y164)</f>
        <v>0</v>
      </c>
      <c r="Y161" s="670">
        <f>重み!E161</f>
        <v>0</v>
      </c>
      <c r="Z161" s="641">
        <f>IF(X161=0,V161,IF(V161=0,X161,V161*AB$6+X161*AD$6))</f>
        <v>3</v>
      </c>
      <c r="AA161" s="586"/>
      <c r="AB161" s="617">
        <f>重み!M161</f>
        <v>0.33333333333333331</v>
      </c>
      <c r="AC161" s="601"/>
      <c r="AD161" s="617">
        <f>重み!N161</f>
        <v>0</v>
      </c>
      <c r="AF161" s="2643">
        <v>3</v>
      </c>
      <c r="AG161" s="2643"/>
      <c r="AH161" s="2643"/>
      <c r="AI161" s="2643"/>
      <c r="AJ161" s="2643"/>
      <c r="AK161" s="2643">
        <v>4</v>
      </c>
      <c r="AL161" s="2643"/>
      <c r="AM161" s="2643"/>
      <c r="AN161" s="2643"/>
      <c r="AO161" s="2643"/>
      <c r="AP161" s="2640">
        <f t="shared" si="59"/>
        <v>3</v>
      </c>
      <c r="AQ161" s="921">
        <f>N161</f>
        <v>0.33333333333333331</v>
      </c>
      <c r="AR161" s="720"/>
      <c r="AS161" s="2614"/>
      <c r="AT161" s="2639">
        <f>SUMPRODUCT($AW$7:$BF$7,AF161:AO161)/AV161</f>
        <v>3</v>
      </c>
      <c r="AV161" s="2638">
        <f>SUMPRODUCT($AW$7:$BF$7,AW161:BF161)</f>
        <v>1</v>
      </c>
      <c r="AW161" s="2624">
        <f t="shared" si="60"/>
        <v>1</v>
      </c>
      <c r="AX161" s="2624">
        <f t="shared" si="60"/>
        <v>0</v>
      </c>
      <c r="AY161" s="2624">
        <f t="shared" si="60"/>
        <v>0</v>
      </c>
      <c r="AZ161" s="2624">
        <f t="shared" si="60"/>
        <v>0</v>
      </c>
      <c r="BA161" s="2624">
        <f t="shared" si="60"/>
        <v>0</v>
      </c>
      <c r="BB161" s="2624">
        <f t="shared" si="60"/>
        <v>1</v>
      </c>
      <c r="BC161" s="2624">
        <f t="shared" si="60"/>
        <v>0</v>
      </c>
      <c r="BD161" s="2624">
        <f t="shared" si="60"/>
        <v>0</v>
      </c>
      <c r="BE161" s="2624">
        <f t="shared" si="60"/>
        <v>0</v>
      </c>
      <c r="BF161" s="2624">
        <f t="shared" si="60"/>
        <v>0</v>
      </c>
    </row>
    <row r="162" spans="2:58">
      <c r="B162" s="916"/>
      <c r="C162" s="710">
        <v>2.1</v>
      </c>
      <c r="D162" s="847" t="s">
        <v>749</v>
      </c>
      <c r="E162" s="845"/>
      <c r="F162" s="766"/>
      <c r="G162" s="661"/>
      <c r="H162" s="2844"/>
      <c r="I162" s="2845"/>
      <c r="J162" s="2845"/>
      <c r="K162" s="2845"/>
      <c r="L162" s="2846"/>
      <c r="M162" s="839">
        <f>ROUNDDOWN(S162,1)</f>
        <v>3</v>
      </c>
      <c r="N162" s="806">
        <f t="shared" si="51"/>
        <v>0.25</v>
      </c>
      <c r="O162" s="804">
        <f>ROUNDDOWN(T162,1)</f>
        <v>0</v>
      </c>
      <c r="P162" s="667">
        <f t="shared" si="52"/>
        <v>0</v>
      </c>
      <c r="Q162" s="668"/>
      <c r="R162" s="586"/>
      <c r="S162" s="904">
        <f>採点LR3!F21</f>
        <v>3</v>
      </c>
      <c r="T162" s="893"/>
      <c r="V162" s="905">
        <f>M162</f>
        <v>3</v>
      </c>
      <c r="W162" s="670">
        <f>重み!D162</f>
        <v>0.25</v>
      </c>
      <c r="X162" s="742"/>
      <c r="Y162" s="670">
        <f>重み!E162</f>
        <v>0</v>
      </c>
      <c r="Z162" s="641"/>
      <c r="AA162" s="586"/>
      <c r="AB162" s="617">
        <f>重み!M162</f>
        <v>0.25</v>
      </c>
      <c r="AC162" s="601"/>
      <c r="AD162" s="617">
        <f>重み!N162</f>
        <v>0</v>
      </c>
      <c r="AP162" s="2672">
        <f t="shared" si="59"/>
        <v>0</v>
      </c>
    </row>
    <row r="163" spans="2:58" ht="14.25" thickBot="1">
      <c r="B163" s="916"/>
      <c r="C163" s="710">
        <v>2.2000000000000002</v>
      </c>
      <c r="D163" s="847" t="s">
        <v>2093</v>
      </c>
      <c r="E163" s="712"/>
      <c r="F163" s="729"/>
      <c r="G163" s="678">
        <v>5</v>
      </c>
      <c r="H163" s="2844"/>
      <c r="I163" s="2845"/>
      <c r="J163" s="2845"/>
      <c r="K163" s="2845"/>
      <c r="L163" s="2846"/>
      <c r="M163" s="711">
        <f>ROUNDDOWN(S163,1)</f>
        <v>3</v>
      </c>
      <c r="N163" s="806">
        <f t="shared" si="51"/>
        <v>0.5</v>
      </c>
      <c r="O163" s="804">
        <f>ROUNDDOWN(T163,1)</f>
        <v>0</v>
      </c>
      <c r="P163" s="851">
        <f t="shared" si="52"/>
        <v>0</v>
      </c>
      <c r="Q163" s="668"/>
      <c r="R163" s="586"/>
      <c r="S163" s="908">
        <f>採点LR3!F30</f>
        <v>3</v>
      </c>
      <c r="T163" s="586"/>
      <c r="V163" s="905">
        <f>M163</f>
        <v>3</v>
      </c>
      <c r="W163" s="670">
        <f>重み!D163</f>
        <v>0.5</v>
      </c>
      <c r="X163" s="742"/>
      <c r="Y163" s="670">
        <f>重み!E163</f>
        <v>0</v>
      </c>
      <c r="Z163" s="641"/>
      <c r="AA163" s="586"/>
      <c r="AB163" s="617">
        <f>重み!M163</f>
        <v>0.5</v>
      </c>
      <c r="AC163" s="601"/>
      <c r="AD163" s="617">
        <f>重み!N163</f>
        <v>0</v>
      </c>
      <c r="AP163" s="2672">
        <f t="shared" si="59"/>
        <v>0</v>
      </c>
    </row>
    <row r="164" spans="2:58" ht="14.25" thickBot="1">
      <c r="B164" s="916"/>
      <c r="C164" s="702">
        <v>2.2999999999999998</v>
      </c>
      <c r="D164" s="923" t="s">
        <v>750</v>
      </c>
      <c r="E164" s="658"/>
      <c r="F164" s="660"/>
      <c r="G164" s="678">
        <v>5</v>
      </c>
      <c r="H164" s="690"/>
      <c r="I164" s="758"/>
      <c r="J164" s="758"/>
      <c r="K164" s="758"/>
      <c r="L164" s="924"/>
      <c r="M164" s="918">
        <f>ROUNDDOWN(V164,1)</f>
        <v>3</v>
      </c>
      <c r="N164" s="925">
        <f t="shared" si="51"/>
        <v>0.25</v>
      </c>
      <c r="O164" s="824">
        <f>ROUNDDOWN(X164,1)</f>
        <v>0</v>
      </c>
      <c r="P164" s="667">
        <f t="shared" si="52"/>
        <v>0</v>
      </c>
      <c r="Q164" s="668"/>
      <c r="R164" s="586"/>
      <c r="S164" s="922"/>
      <c r="T164" s="586"/>
      <c r="V164" s="669">
        <f>SUMPRODUCT(V165:V168,W165:W168)</f>
        <v>3</v>
      </c>
      <c r="W164" s="670">
        <f>重み!D164</f>
        <v>0.25</v>
      </c>
      <c r="X164" s="669">
        <f>SUMPRODUCT(X165:X168,Y165:Y168)</f>
        <v>0</v>
      </c>
      <c r="Y164" s="670">
        <f>重み!E164</f>
        <v>0</v>
      </c>
      <c r="Z164" s="641"/>
      <c r="AA164" s="586"/>
      <c r="AB164" s="617">
        <f>重み!M164</f>
        <v>0.25</v>
      </c>
      <c r="AC164" s="601"/>
      <c r="AD164" s="617">
        <f>重み!N164</f>
        <v>0</v>
      </c>
      <c r="AP164" s="2672">
        <f t="shared" si="59"/>
        <v>0</v>
      </c>
    </row>
    <row r="165" spans="2:58">
      <c r="B165" s="916"/>
      <c r="C165" s="728"/>
      <c r="D165" s="687">
        <v>1</v>
      </c>
      <c r="E165" s="829" t="s">
        <v>2094</v>
      </c>
      <c r="F165" s="729"/>
      <c r="G165" s="678"/>
      <c r="H165" s="2844"/>
      <c r="I165" s="2845"/>
      <c r="J165" s="2845"/>
      <c r="K165" s="2845"/>
      <c r="L165" s="2846"/>
      <c r="M165" s="691">
        <f>ROUNDDOWN(S165,1)</f>
        <v>3</v>
      </c>
      <c r="N165" s="692">
        <f t="shared" si="51"/>
        <v>0.25</v>
      </c>
      <c r="O165" s="824">
        <f>ROUNDDOWN(T165,1)</f>
        <v>0</v>
      </c>
      <c r="P165" s="692">
        <f t="shared" si="52"/>
        <v>0</v>
      </c>
      <c r="Q165" s="668"/>
      <c r="R165" s="586"/>
      <c r="S165" s="904">
        <f>採点LR3!F63</f>
        <v>3</v>
      </c>
      <c r="T165" s="893"/>
      <c r="V165" s="905">
        <f>M165</f>
        <v>3</v>
      </c>
      <c r="W165" s="670">
        <f>重み!D165</f>
        <v>0.25</v>
      </c>
      <c r="X165" s="742"/>
      <c r="Y165" s="670">
        <f>重み!E168</f>
        <v>0</v>
      </c>
      <c r="Z165" s="641"/>
      <c r="AA165" s="586"/>
      <c r="AB165" s="617">
        <f>重み!M165</f>
        <v>0.25</v>
      </c>
      <c r="AC165" s="601"/>
      <c r="AD165" s="617">
        <f>重み!N168</f>
        <v>0</v>
      </c>
      <c r="AP165" s="2672">
        <f t="shared" si="59"/>
        <v>0</v>
      </c>
    </row>
    <row r="166" spans="2:58">
      <c r="B166" s="916"/>
      <c r="C166" s="728"/>
      <c r="D166" s="828">
        <v>2</v>
      </c>
      <c r="E166" s="829" t="s">
        <v>2095</v>
      </c>
      <c r="F166" s="729"/>
      <c r="G166" s="678"/>
      <c r="H166" s="2844"/>
      <c r="I166" s="2845"/>
      <c r="J166" s="2845"/>
      <c r="K166" s="2845"/>
      <c r="L166" s="2846"/>
      <c r="M166" s="706">
        <f>ROUNDDOWN(S166,1)</f>
        <v>3</v>
      </c>
      <c r="N166" s="692">
        <f t="shared" si="51"/>
        <v>0.25</v>
      </c>
      <c r="O166" s="890">
        <f>ROUNDDOWN(T166,1)</f>
        <v>0</v>
      </c>
      <c r="P166" s="692">
        <f t="shared" si="52"/>
        <v>0</v>
      </c>
      <c r="Q166" s="668"/>
      <c r="R166" s="586"/>
      <c r="S166" s="904">
        <f>採点LR3!F72</f>
        <v>3</v>
      </c>
      <c r="T166" s="893"/>
      <c r="V166" s="905">
        <f>M166</f>
        <v>3</v>
      </c>
      <c r="W166" s="670">
        <f>重み!D166</f>
        <v>0.25</v>
      </c>
      <c r="X166" s="742"/>
      <c r="Y166" s="670">
        <f>重み!E179</f>
        <v>0</v>
      </c>
      <c r="Z166" s="641"/>
      <c r="AA166" s="586"/>
      <c r="AB166" s="617">
        <f>重み!M166</f>
        <v>0.25</v>
      </c>
      <c r="AC166" s="601"/>
      <c r="AD166" s="617">
        <f>重み!N179</f>
        <v>0</v>
      </c>
      <c r="AP166" s="2672">
        <f t="shared" si="59"/>
        <v>0</v>
      </c>
    </row>
    <row r="167" spans="2:58">
      <c r="B167" s="916"/>
      <c r="C167" s="728"/>
      <c r="D167" s="687">
        <v>3</v>
      </c>
      <c r="E167" s="829" t="s">
        <v>751</v>
      </c>
      <c r="F167" s="729"/>
      <c r="G167" s="678"/>
      <c r="H167" s="2844"/>
      <c r="I167" s="2845"/>
      <c r="J167" s="2845"/>
      <c r="K167" s="2845"/>
      <c r="L167" s="2846"/>
      <c r="M167" s="706">
        <f>ROUNDDOWN(S167,1)</f>
        <v>3</v>
      </c>
      <c r="N167" s="692">
        <f t="shared" si="51"/>
        <v>0.25</v>
      </c>
      <c r="O167" s="890">
        <f>ROUNDDOWN(T167,1)</f>
        <v>0</v>
      </c>
      <c r="P167" s="692">
        <f t="shared" si="52"/>
        <v>0</v>
      </c>
      <c r="Q167" s="668"/>
      <c r="R167" s="586"/>
      <c r="S167" s="904">
        <f>採点LR3!F81</f>
        <v>3</v>
      </c>
      <c r="T167" s="586"/>
      <c r="V167" s="905">
        <f>M167</f>
        <v>3</v>
      </c>
      <c r="W167" s="670">
        <f>重み!D167</f>
        <v>0.25</v>
      </c>
      <c r="X167" s="742"/>
      <c r="Y167" s="670">
        <f>重み!E180</f>
        <v>0</v>
      </c>
      <c r="Z167" s="641"/>
      <c r="AA167" s="586"/>
      <c r="AB167" s="617">
        <f>重み!M167</f>
        <v>0.25</v>
      </c>
      <c r="AC167" s="601"/>
      <c r="AD167" s="617">
        <f>重み!N180</f>
        <v>0</v>
      </c>
      <c r="AP167" s="2672">
        <f t="shared" si="59"/>
        <v>0</v>
      </c>
    </row>
    <row r="168" spans="2:58" ht="14.25" thickBot="1">
      <c r="B168" s="926"/>
      <c r="C168" s="751"/>
      <c r="D168" s="687">
        <v>4</v>
      </c>
      <c r="E168" s="829" t="s">
        <v>1090</v>
      </c>
      <c r="F168" s="729"/>
      <c r="G168" s="698"/>
      <c r="H168" s="2844"/>
      <c r="I168" s="2845"/>
      <c r="J168" s="2845"/>
      <c r="K168" s="2845"/>
      <c r="L168" s="2846"/>
      <c r="M168" s="699">
        <f>ROUNDDOWN(S168,1)</f>
        <v>3</v>
      </c>
      <c r="N168" s="927">
        <f t="shared" si="51"/>
        <v>0.25</v>
      </c>
      <c r="O168" s="928">
        <f>ROUNDDOWN(T168,1)</f>
        <v>0</v>
      </c>
      <c r="P168" s="927">
        <f t="shared" si="52"/>
        <v>0</v>
      </c>
      <c r="Q168" s="797"/>
      <c r="R168" s="586"/>
      <c r="S168" s="908">
        <f>採点LR3!F101</f>
        <v>3</v>
      </c>
      <c r="T168" s="586"/>
      <c r="V168" s="905">
        <f>M168</f>
        <v>3</v>
      </c>
      <c r="W168" s="670">
        <f>重み!D168</f>
        <v>0.25</v>
      </c>
      <c r="X168" s="742"/>
      <c r="Y168" s="670">
        <f>重み!E181</f>
        <v>0</v>
      </c>
      <c r="Z168" s="641"/>
      <c r="AA168" s="586"/>
      <c r="AB168" s="617">
        <f>重み!M168</f>
        <v>0.25</v>
      </c>
      <c r="AC168" s="601"/>
      <c r="AD168" s="617">
        <f>重み!N181</f>
        <v>0</v>
      </c>
      <c r="AP168" s="2672">
        <f t="shared" si="59"/>
        <v>0</v>
      </c>
    </row>
    <row r="169" spans="2:58">
      <c r="B169" s="929">
        <v>3</v>
      </c>
      <c r="C169" s="712" t="s">
        <v>1091</v>
      </c>
      <c r="D169" s="829"/>
      <c r="E169" s="712"/>
      <c r="F169" s="729"/>
      <c r="G169" s="765"/>
      <c r="H169" s="714"/>
      <c r="I169" s="715"/>
      <c r="J169" s="715"/>
      <c r="K169" s="715"/>
      <c r="L169" s="716"/>
      <c r="M169" s="930">
        <f>ROUNDDOWN(V169,1)</f>
        <v>3</v>
      </c>
      <c r="N169" s="718">
        <f t="shared" si="51"/>
        <v>0.33333333333333331</v>
      </c>
      <c r="O169" s="844">
        <f>ROUNDDOWN(X169,1)</f>
        <v>0</v>
      </c>
      <c r="P169" s="719">
        <f t="shared" si="52"/>
        <v>0</v>
      </c>
      <c r="Q169" s="720">
        <f>ROUNDDOWN(Z169,1)</f>
        <v>3</v>
      </c>
      <c r="R169" s="586"/>
      <c r="S169" s="586"/>
      <c r="T169" s="586"/>
      <c r="V169" s="669">
        <f>V170*W170+V174*W174+V178*W178</f>
        <v>3.0000000000000004</v>
      </c>
      <c r="W169" s="670">
        <f>重み!D169</f>
        <v>0.33333333333333331</v>
      </c>
      <c r="X169" s="669">
        <f>X170*Y170+X174*Y174+X178*Y178</f>
        <v>0</v>
      </c>
      <c r="Y169" s="670">
        <f>重み!E169</f>
        <v>0</v>
      </c>
      <c r="Z169" s="641">
        <f>IF(X169=0,V169,IF(V169=0,X169,V169*AB$6+X169*AD$6))</f>
        <v>3.0000000000000004</v>
      </c>
      <c r="AA169" s="586"/>
      <c r="AB169" s="617">
        <f>重み!M169</f>
        <v>0.33333333333333331</v>
      </c>
      <c r="AC169" s="601"/>
      <c r="AD169" s="617">
        <f>重み!N169</f>
        <v>0</v>
      </c>
      <c r="AF169" s="2643">
        <v>3</v>
      </c>
      <c r="AG169" s="2643"/>
      <c r="AH169" s="2643"/>
      <c r="AI169" s="2643"/>
      <c r="AJ169" s="2643"/>
      <c r="AK169" s="2643">
        <v>4</v>
      </c>
      <c r="AL169" s="2643"/>
      <c r="AM169" s="2643"/>
      <c r="AN169" s="2643"/>
      <c r="AO169" s="2643"/>
      <c r="AP169" s="2640">
        <f t="shared" si="59"/>
        <v>3</v>
      </c>
      <c r="AQ169" s="921">
        <f>N169</f>
        <v>0.33333333333333331</v>
      </c>
      <c r="AR169" s="720"/>
      <c r="AS169" s="2614"/>
      <c r="AT169" s="2639">
        <f>SUMPRODUCT($AW$7:$BF$7,AF169:AO169)/AV169</f>
        <v>3</v>
      </c>
      <c r="AV169" s="2638">
        <f>SUMPRODUCT($AW$7:$BF$7,AW169:BF169)</f>
        <v>1</v>
      </c>
      <c r="AW169" s="2624">
        <f t="shared" ref="AW169:BF169" si="61">IF(AF169&gt;0,1,0)</f>
        <v>1</v>
      </c>
      <c r="AX169" s="2624">
        <f t="shared" si="61"/>
        <v>0</v>
      </c>
      <c r="AY169" s="2624">
        <f t="shared" si="61"/>
        <v>0</v>
      </c>
      <c r="AZ169" s="2624">
        <f t="shared" si="61"/>
        <v>0</v>
      </c>
      <c r="BA169" s="2624">
        <f t="shared" si="61"/>
        <v>0</v>
      </c>
      <c r="BB169" s="2624">
        <f t="shared" si="61"/>
        <v>1</v>
      </c>
      <c r="BC169" s="2624">
        <f t="shared" si="61"/>
        <v>0</v>
      </c>
      <c r="BD169" s="2624">
        <f t="shared" si="61"/>
        <v>0</v>
      </c>
      <c r="BE169" s="2624">
        <f t="shared" si="61"/>
        <v>0</v>
      </c>
      <c r="BF169" s="2624">
        <f t="shared" si="61"/>
        <v>0</v>
      </c>
    </row>
    <row r="170" spans="2:58" ht="14.25" thickBot="1">
      <c r="B170" s="931"/>
      <c r="C170" s="674">
        <v>3.1</v>
      </c>
      <c r="D170" s="847" t="s">
        <v>1092</v>
      </c>
      <c r="E170" s="658"/>
      <c r="F170" s="660"/>
      <c r="G170" s="678"/>
      <c r="H170" s="662"/>
      <c r="I170" s="663"/>
      <c r="J170" s="663"/>
      <c r="K170" s="663"/>
      <c r="L170" s="664"/>
      <c r="M170" s="932">
        <f>ROUNDDOWN(V170,1)</f>
        <v>3</v>
      </c>
      <c r="N170" s="666">
        <f t="shared" si="51"/>
        <v>0.4</v>
      </c>
      <c r="O170" s="804">
        <f>ROUNDDOWN(X170,1)</f>
        <v>0</v>
      </c>
      <c r="P170" s="667">
        <f t="shared" si="52"/>
        <v>0</v>
      </c>
      <c r="Q170" s="668"/>
      <c r="R170" s="586"/>
      <c r="S170" s="586"/>
      <c r="T170" s="586"/>
      <c r="V170" s="669">
        <f>SUMPRODUCT(V171:V173,W171:W173)</f>
        <v>3</v>
      </c>
      <c r="W170" s="670">
        <f>重み!D170</f>
        <v>0.4</v>
      </c>
      <c r="X170" s="669">
        <f>SUMPRODUCT(X171:X173,Y171:Y173)</f>
        <v>0</v>
      </c>
      <c r="Y170" s="670">
        <f>重み!E170</f>
        <v>0</v>
      </c>
      <c r="Z170" s="641"/>
      <c r="AA170" s="586"/>
      <c r="AB170" s="617">
        <f>重み!M170</f>
        <v>0.4</v>
      </c>
      <c r="AC170" s="601"/>
      <c r="AD170" s="617">
        <f>重み!N170</f>
        <v>0</v>
      </c>
    </row>
    <row r="171" spans="2:58">
      <c r="B171" s="933"/>
      <c r="C171" s="728"/>
      <c r="D171" s="687">
        <v>1</v>
      </c>
      <c r="E171" s="829" t="s">
        <v>1093</v>
      </c>
      <c r="F171" s="729"/>
      <c r="G171" s="678">
        <v>5</v>
      </c>
      <c r="H171" s="2844"/>
      <c r="I171" s="2845"/>
      <c r="J171" s="2845"/>
      <c r="K171" s="2845"/>
      <c r="L171" s="2846"/>
      <c r="M171" s="934">
        <f>ROUNDDOWN(S171,1)</f>
        <v>3</v>
      </c>
      <c r="N171" s="806">
        <f t="shared" si="51"/>
        <v>0.33333333333333331</v>
      </c>
      <c r="O171" s="804">
        <f>ROUNDDOWN(T171,1)</f>
        <v>0</v>
      </c>
      <c r="P171" s="667">
        <f t="shared" si="52"/>
        <v>0</v>
      </c>
      <c r="Q171" s="668"/>
      <c r="R171" s="586"/>
      <c r="S171" s="935">
        <f>採点LR3!F122</f>
        <v>3</v>
      </c>
      <c r="T171" s="586"/>
      <c r="V171" s="695">
        <f>M171</f>
        <v>3</v>
      </c>
      <c r="W171" s="670">
        <f>重み!D171</f>
        <v>0.33333333333333331</v>
      </c>
      <c r="X171" s="742"/>
      <c r="Y171" s="670">
        <f>重み!E171</f>
        <v>0</v>
      </c>
      <c r="Z171" s="641"/>
      <c r="AA171" s="586"/>
      <c r="AB171" s="617">
        <f>重み!M171</f>
        <v>0.33333333333333331</v>
      </c>
      <c r="AC171" s="601"/>
      <c r="AD171" s="617">
        <f>重み!N171</f>
        <v>0</v>
      </c>
    </row>
    <row r="172" spans="2:58">
      <c r="B172" s="933"/>
      <c r="C172" s="728"/>
      <c r="D172" s="828">
        <v>2</v>
      </c>
      <c r="E172" s="829" t="s">
        <v>2096</v>
      </c>
      <c r="F172" s="729"/>
      <c r="G172" s="678"/>
      <c r="H172" s="2844"/>
      <c r="I172" s="2845"/>
      <c r="J172" s="2845"/>
      <c r="K172" s="2845"/>
      <c r="L172" s="2846"/>
      <c r="M172" s="936">
        <f>ROUNDDOWN(S172,1)</f>
        <v>3</v>
      </c>
      <c r="N172" s="806">
        <f t="shared" si="51"/>
        <v>0.33333333333333331</v>
      </c>
      <c r="O172" s="804">
        <f>ROUNDDOWN(T172,1)</f>
        <v>0</v>
      </c>
      <c r="P172" s="667">
        <f t="shared" si="52"/>
        <v>0</v>
      </c>
      <c r="Q172" s="668"/>
      <c r="R172" s="586"/>
      <c r="S172" s="937">
        <f>採点LR3!F158</f>
        <v>3</v>
      </c>
      <c r="T172" s="586"/>
      <c r="V172" s="695">
        <f>M172</f>
        <v>3</v>
      </c>
      <c r="W172" s="670">
        <f>重み!D172</f>
        <v>0.33333333333333331</v>
      </c>
      <c r="X172" s="742"/>
      <c r="Y172" s="670">
        <f>重み!E172</f>
        <v>0</v>
      </c>
      <c r="Z172" s="641"/>
      <c r="AA172" s="586"/>
      <c r="AB172" s="617">
        <f>重み!M172</f>
        <v>0.33333333333333331</v>
      </c>
      <c r="AC172" s="601"/>
      <c r="AD172" s="617">
        <f>重み!N172</f>
        <v>0</v>
      </c>
    </row>
    <row r="173" spans="2:58" ht="14.25" thickBot="1">
      <c r="B173" s="933"/>
      <c r="C173" s="728"/>
      <c r="D173" s="687">
        <v>3</v>
      </c>
      <c r="E173" s="829" t="s">
        <v>2097</v>
      </c>
      <c r="F173" s="729"/>
      <c r="G173" s="678">
        <v>5</v>
      </c>
      <c r="H173" s="2844"/>
      <c r="I173" s="2845"/>
      <c r="J173" s="2845"/>
      <c r="K173" s="2845"/>
      <c r="L173" s="2846"/>
      <c r="M173" s="938">
        <f>ROUNDDOWN(S173,1)</f>
        <v>3</v>
      </c>
      <c r="N173" s="806">
        <f t="shared" si="51"/>
        <v>0.33333333333333331</v>
      </c>
      <c r="O173" s="804">
        <f>ROUNDDOWN(T173,1)</f>
        <v>0</v>
      </c>
      <c r="P173" s="667">
        <f t="shared" si="52"/>
        <v>0</v>
      </c>
      <c r="Q173" s="668"/>
      <c r="R173" s="586"/>
      <c r="S173" s="888">
        <f>採点LR3!F186</f>
        <v>3</v>
      </c>
      <c r="T173" s="586"/>
      <c r="V173" s="695">
        <f>M173</f>
        <v>3</v>
      </c>
      <c r="W173" s="670">
        <f>重み!D173</f>
        <v>0.33333333333333331</v>
      </c>
      <c r="X173" s="742"/>
      <c r="Y173" s="670">
        <f>重み!E173</f>
        <v>0</v>
      </c>
      <c r="Z173" s="641"/>
      <c r="AA173" s="586"/>
      <c r="AB173" s="617">
        <f>重み!M173</f>
        <v>0.33333333333333331</v>
      </c>
      <c r="AC173" s="601"/>
      <c r="AD173" s="617">
        <f>重み!N173</f>
        <v>0</v>
      </c>
    </row>
    <row r="174" spans="2:58" ht="14.25" thickBot="1">
      <c r="B174" s="933"/>
      <c r="C174" s="674">
        <v>3.2</v>
      </c>
      <c r="D174" s="829" t="s">
        <v>2667</v>
      </c>
      <c r="E174" s="845"/>
      <c r="F174" s="766"/>
      <c r="G174" s="698">
        <v>5</v>
      </c>
      <c r="H174" s="690"/>
      <c r="I174" s="758"/>
      <c r="J174" s="758"/>
      <c r="K174" s="758"/>
      <c r="L174" s="758"/>
      <c r="M174" s="939">
        <f>ROUNDDOWN(V174,1)</f>
        <v>3</v>
      </c>
      <c r="N174" s="806">
        <f t="shared" si="51"/>
        <v>0.4</v>
      </c>
      <c r="O174" s="804">
        <f>ROUNDDOWN(X174,1)</f>
        <v>0</v>
      </c>
      <c r="P174" s="667">
        <f t="shared" si="52"/>
        <v>0</v>
      </c>
      <c r="Q174" s="668"/>
      <c r="R174" s="586"/>
      <c r="S174" s="940"/>
      <c r="T174" s="586"/>
      <c r="V174" s="669">
        <f>SUMPRODUCT(V175:V177,W175:W177)</f>
        <v>2.9999999999999996</v>
      </c>
      <c r="W174" s="670">
        <f>重み!D174</f>
        <v>0.4</v>
      </c>
      <c r="X174" s="669">
        <f>SUMPRODUCT(X175:X177,Y175:Y177)</f>
        <v>0</v>
      </c>
      <c r="Y174" s="670">
        <f>重み!E174</f>
        <v>0</v>
      </c>
      <c r="Z174" s="641"/>
      <c r="AA174" s="586"/>
      <c r="AB174" s="617">
        <f>重み!M174</f>
        <v>0.4</v>
      </c>
      <c r="AC174" s="601"/>
      <c r="AD174" s="617">
        <f>重み!N174</f>
        <v>0</v>
      </c>
    </row>
    <row r="175" spans="2:58">
      <c r="B175" s="933"/>
      <c r="C175" s="728"/>
      <c r="D175" s="687">
        <v>1</v>
      </c>
      <c r="E175" s="829" t="s">
        <v>2098</v>
      </c>
      <c r="F175" s="729"/>
      <c r="G175" s="678"/>
      <c r="H175" s="2844"/>
      <c r="I175" s="2845"/>
      <c r="J175" s="2845"/>
      <c r="K175" s="2845"/>
      <c r="L175" s="2846"/>
      <c r="M175" s="691">
        <f>ROUNDDOWN(S175,1)</f>
        <v>3</v>
      </c>
      <c r="N175" s="806">
        <f t="shared" ref="N175:N180" si="62">W175</f>
        <v>0.7</v>
      </c>
      <c r="O175" s="804"/>
      <c r="P175" s="667">
        <f t="shared" si="52"/>
        <v>0</v>
      </c>
      <c r="Q175" s="668"/>
      <c r="R175" s="586"/>
      <c r="S175" s="935">
        <f>採点LR3!F196</f>
        <v>3</v>
      </c>
      <c r="T175" s="586"/>
      <c r="V175" s="695">
        <f>M175</f>
        <v>3</v>
      </c>
      <c r="W175" s="670">
        <f>重み!D175</f>
        <v>0.7</v>
      </c>
      <c r="X175" s="742"/>
      <c r="Y175" s="670">
        <f>重み!E175</f>
        <v>0</v>
      </c>
      <c r="Z175" s="641"/>
      <c r="AA175" s="586"/>
      <c r="AB175" s="617">
        <f>重み!M175</f>
        <v>0.7</v>
      </c>
      <c r="AC175" s="601"/>
      <c r="AD175" s="617">
        <f>重み!N175</f>
        <v>0</v>
      </c>
    </row>
    <row r="176" spans="2:58" ht="14.25" thickBot="1">
      <c r="B176" s="933"/>
      <c r="C176" s="728"/>
      <c r="D176" s="687">
        <v>2</v>
      </c>
      <c r="E176" s="829" t="s">
        <v>1094</v>
      </c>
      <c r="F176" s="729"/>
      <c r="G176" s="678"/>
      <c r="H176" s="2844"/>
      <c r="I176" s="2845"/>
      <c r="J176" s="2845"/>
      <c r="K176" s="2845"/>
      <c r="L176" s="2846"/>
      <c r="M176" s="706">
        <f>ROUNDDOWN(S176,1)</f>
        <v>3</v>
      </c>
      <c r="N176" s="886">
        <f t="shared" si="62"/>
        <v>0</v>
      </c>
      <c r="O176" s="804"/>
      <c r="P176" s="667"/>
      <c r="Q176" s="668"/>
      <c r="R176" s="586"/>
      <c r="S176" s="888">
        <f>採点LR3!F205</f>
        <v>3</v>
      </c>
      <c r="T176" s="586"/>
      <c r="V176" s="695">
        <f>M176</f>
        <v>3</v>
      </c>
      <c r="W176" s="670">
        <f>重み!D176</f>
        <v>0</v>
      </c>
      <c r="X176" s="742"/>
      <c r="Y176" s="670"/>
      <c r="Z176" s="641"/>
      <c r="AA176" s="586"/>
      <c r="AB176" s="617">
        <f>重み!M176</f>
        <v>0</v>
      </c>
      <c r="AC176" s="601"/>
      <c r="AD176" s="617">
        <f>重み!N176</f>
        <v>0</v>
      </c>
    </row>
    <row r="177" spans="2:44" ht="14.25" thickBot="1">
      <c r="B177" s="933"/>
      <c r="C177" s="728"/>
      <c r="D177" s="828">
        <v>3</v>
      </c>
      <c r="E177" s="829" t="s">
        <v>2099</v>
      </c>
      <c r="F177" s="729"/>
      <c r="G177" s="678"/>
      <c r="H177" s="2844"/>
      <c r="I177" s="2845"/>
      <c r="J177" s="2845"/>
      <c r="K177" s="2845"/>
      <c r="L177" s="2846"/>
      <c r="M177" s="706">
        <f>ROUNDDOWN(S177,1)</f>
        <v>3</v>
      </c>
      <c r="N177" s="886">
        <f t="shared" si="62"/>
        <v>0.3</v>
      </c>
      <c r="O177" s="804"/>
      <c r="P177" s="667">
        <f>Y177</f>
        <v>0</v>
      </c>
      <c r="Q177" s="668"/>
      <c r="R177" s="586"/>
      <c r="S177" s="888">
        <f>採点LR3!F223</f>
        <v>3</v>
      </c>
      <c r="T177" s="586"/>
      <c r="V177" s="695">
        <f>M177</f>
        <v>3</v>
      </c>
      <c r="W177" s="670">
        <f>重み!D177</f>
        <v>0.3</v>
      </c>
      <c r="X177" s="742"/>
      <c r="Y177" s="670">
        <f>重み!E177</f>
        <v>0</v>
      </c>
      <c r="Z177" s="641"/>
      <c r="AA177" s="586"/>
      <c r="AB177" s="617">
        <f>重み!M177</f>
        <v>0.3</v>
      </c>
      <c r="AC177" s="601"/>
      <c r="AD177" s="617">
        <f>重み!N177</f>
        <v>0</v>
      </c>
    </row>
    <row r="178" spans="2:44" ht="14.25" thickBot="1">
      <c r="B178" s="933"/>
      <c r="C178" s="674">
        <v>3.3</v>
      </c>
      <c r="D178" s="829" t="s">
        <v>1095</v>
      </c>
      <c r="E178" s="845"/>
      <c r="F178" s="766"/>
      <c r="G178" s="698">
        <v>5</v>
      </c>
      <c r="H178" s="690"/>
      <c r="I178" s="758"/>
      <c r="J178" s="758"/>
      <c r="K178" s="758"/>
      <c r="L178" s="758"/>
      <c r="M178" s="939">
        <f>ROUNDDOWN(V178,1)</f>
        <v>3</v>
      </c>
      <c r="N178" s="806">
        <f t="shared" si="62"/>
        <v>0.2</v>
      </c>
      <c r="O178" s="804">
        <f>ROUNDDOWN(X178,1)</f>
        <v>0</v>
      </c>
      <c r="P178" s="667">
        <f>Y178</f>
        <v>0</v>
      </c>
      <c r="Q178" s="668"/>
      <c r="R178" s="586"/>
      <c r="S178" s="940"/>
      <c r="T178" s="586"/>
      <c r="V178" s="669">
        <f>SUMPRODUCT(V179:V180,W179:W180)</f>
        <v>2.9999999999999996</v>
      </c>
      <c r="W178" s="670">
        <f>重み!D178</f>
        <v>0.2</v>
      </c>
      <c r="X178" s="669">
        <f>SUMPRODUCT(X179:X180,Y179:Y180)</f>
        <v>0</v>
      </c>
      <c r="Y178" s="670">
        <f>重み!E178</f>
        <v>0</v>
      </c>
      <c r="Z178" s="641"/>
      <c r="AA178" s="586"/>
      <c r="AB178" s="617">
        <f>重み!M178</f>
        <v>0.2</v>
      </c>
      <c r="AC178" s="601"/>
      <c r="AD178" s="617">
        <f>重み!N178</f>
        <v>0</v>
      </c>
    </row>
    <row r="179" spans="2:44">
      <c r="B179" s="933"/>
      <c r="C179" s="728"/>
      <c r="D179" s="687">
        <v>1</v>
      </c>
      <c r="E179" s="2876" t="s">
        <v>1096</v>
      </c>
      <c r="F179" s="2865"/>
      <c r="G179" s="678"/>
      <c r="H179" s="2844"/>
      <c r="I179" s="2845"/>
      <c r="J179" s="2845"/>
      <c r="K179" s="2845"/>
      <c r="L179" s="2846"/>
      <c r="M179" s="691">
        <f>ROUNDDOWN(S179,1)</f>
        <v>3</v>
      </c>
      <c r="N179" s="806">
        <f t="shared" si="62"/>
        <v>0.7</v>
      </c>
      <c r="O179" s="804"/>
      <c r="P179" s="667">
        <f>Y179</f>
        <v>0</v>
      </c>
      <c r="Q179" s="668"/>
      <c r="R179" s="586"/>
      <c r="S179" s="935">
        <f>採点LR3!F234</f>
        <v>3</v>
      </c>
      <c r="T179" s="586"/>
      <c r="V179" s="695">
        <f>M179</f>
        <v>3</v>
      </c>
      <c r="W179" s="670">
        <f>重み!D179</f>
        <v>0.7</v>
      </c>
      <c r="X179" s="742"/>
      <c r="Y179" s="670">
        <f>重み!E179</f>
        <v>0</v>
      </c>
      <c r="Z179" s="641"/>
      <c r="AA179" s="586"/>
      <c r="AB179" s="617">
        <f>重み!M179</f>
        <v>0.7</v>
      </c>
      <c r="AC179" s="601"/>
      <c r="AD179" s="617">
        <f>重み!N179</f>
        <v>0</v>
      </c>
    </row>
    <row r="180" spans="2:44" ht="14.25" thickBot="1">
      <c r="B180" s="933"/>
      <c r="C180" s="728"/>
      <c r="D180" s="828">
        <v>2</v>
      </c>
      <c r="E180" s="2874" t="s">
        <v>2614</v>
      </c>
      <c r="F180" s="2875"/>
      <c r="G180" s="678"/>
      <c r="H180" s="2844"/>
      <c r="I180" s="2863"/>
      <c r="J180" s="2863"/>
      <c r="K180" s="2863"/>
      <c r="L180" s="2846"/>
      <c r="M180" s="706">
        <f>ROUNDDOWN(S180,1)</f>
        <v>3</v>
      </c>
      <c r="N180" s="886">
        <f t="shared" si="62"/>
        <v>0.3</v>
      </c>
      <c r="O180" s="804"/>
      <c r="P180" s="667">
        <f>Y180</f>
        <v>0</v>
      </c>
      <c r="Q180" s="668"/>
      <c r="R180" s="586"/>
      <c r="S180" s="937">
        <f>採点LR3!F252</f>
        <v>3</v>
      </c>
      <c r="T180" s="586"/>
      <c r="V180" s="2645">
        <f>M180</f>
        <v>3</v>
      </c>
      <c r="W180" s="2646">
        <f>重み!D180</f>
        <v>0.3</v>
      </c>
      <c r="X180" s="2647"/>
      <c r="Y180" s="2646">
        <f>重み!E180</f>
        <v>0</v>
      </c>
      <c r="Z180" s="2648"/>
      <c r="AA180" s="586"/>
      <c r="AB180" s="655">
        <f>重み!M180</f>
        <v>0.3</v>
      </c>
      <c r="AC180" s="601"/>
      <c r="AD180" s="655">
        <f>重み!N180</f>
        <v>0</v>
      </c>
    </row>
    <row r="181" spans="2:44">
      <c r="B181" s="2650"/>
      <c r="C181" s="2650"/>
      <c r="D181" s="2650"/>
      <c r="E181" s="2650"/>
      <c r="F181" s="2650"/>
      <c r="G181" s="2650"/>
      <c r="H181" s="2650"/>
      <c r="I181" s="2650"/>
      <c r="J181" s="2650"/>
      <c r="K181" s="2650"/>
      <c r="L181" s="2650"/>
      <c r="M181" s="2650"/>
      <c r="N181" s="2650"/>
      <c r="O181" s="2650"/>
      <c r="P181" s="2650"/>
      <c r="Q181" s="2650"/>
      <c r="R181" s="586"/>
      <c r="S181" s="2650"/>
      <c r="T181" s="2650"/>
      <c r="U181" s="2650"/>
      <c r="V181" s="2650"/>
      <c r="W181" s="2650"/>
      <c r="X181" s="2650"/>
      <c r="Y181" s="2650"/>
      <c r="Z181" s="2650"/>
      <c r="AA181" s="2650"/>
      <c r="AB181" s="2650"/>
      <c r="AC181" s="2650"/>
      <c r="AD181" s="2650"/>
      <c r="AE181" s="2650"/>
      <c r="AF181" s="2650"/>
      <c r="AG181" s="2650"/>
      <c r="AH181" s="2650"/>
      <c r="AI181" s="2650"/>
      <c r="AJ181" s="2650"/>
      <c r="AK181" s="2650"/>
      <c r="AL181" s="2650"/>
      <c r="AM181" s="2650"/>
      <c r="AN181" s="2650"/>
      <c r="AO181" s="2650"/>
      <c r="AP181" s="2650"/>
      <c r="AQ181" s="2650"/>
      <c r="AR181" s="2650"/>
    </row>
  </sheetData>
  <sheetProtection password="9DA9" sheet="1" objects="1" scenarios="1"/>
  <mergeCells count="138">
    <mergeCell ref="H130:L130"/>
    <mergeCell ref="H131:L131"/>
    <mergeCell ref="H132:L132"/>
    <mergeCell ref="H139:L139"/>
    <mergeCell ref="H171:L171"/>
    <mergeCell ref="H163:L163"/>
    <mergeCell ref="H165:L165"/>
    <mergeCell ref="H166:L166"/>
    <mergeCell ref="H167:L167"/>
    <mergeCell ref="E145:F145"/>
    <mergeCell ref="D150:F150"/>
    <mergeCell ref="H168:L168"/>
    <mergeCell ref="H157:L157"/>
    <mergeCell ref="H158:L158"/>
    <mergeCell ref="H149:L149"/>
    <mergeCell ref="H150:L150"/>
    <mergeCell ref="H172:L172"/>
    <mergeCell ref="E180:F180"/>
    <mergeCell ref="H180:L180"/>
    <mergeCell ref="H173:L173"/>
    <mergeCell ref="H175:L175"/>
    <mergeCell ref="H177:L177"/>
    <mergeCell ref="E179:F179"/>
    <mergeCell ref="H179:L179"/>
    <mergeCell ref="H176:L176"/>
    <mergeCell ref="H160:L160"/>
    <mergeCell ref="H162:L162"/>
    <mergeCell ref="H151:L151"/>
    <mergeCell ref="H152:L152"/>
    <mergeCell ref="H154:L154"/>
    <mergeCell ref="H108:L108"/>
    <mergeCell ref="H110:L110"/>
    <mergeCell ref="H111:L111"/>
    <mergeCell ref="H113:L113"/>
    <mergeCell ref="H156:L156"/>
    <mergeCell ref="H142:L142"/>
    <mergeCell ref="H144:L144"/>
    <mergeCell ref="H145:L145"/>
    <mergeCell ref="H147:L147"/>
    <mergeCell ref="H148:L148"/>
    <mergeCell ref="H114:L114"/>
    <mergeCell ref="H118:L118"/>
    <mergeCell ref="H122:L122"/>
    <mergeCell ref="H123:L123"/>
    <mergeCell ref="H120:L120"/>
    <mergeCell ref="H121:L121"/>
    <mergeCell ref="H125:L125"/>
    <mergeCell ref="H126:L126"/>
    <mergeCell ref="H135:L135"/>
    <mergeCell ref="H136:L136"/>
    <mergeCell ref="H138:L138"/>
    <mergeCell ref="H127:L127"/>
    <mergeCell ref="H128:L128"/>
    <mergeCell ref="H129:L129"/>
    <mergeCell ref="H104:L104"/>
    <mergeCell ref="H105:L105"/>
    <mergeCell ref="H106:L106"/>
    <mergeCell ref="H107:L107"/>
    <mergeCell ref="H99:L99"/>
    <mergeCell ref="H100:L100"/>
    <mergeCell ref="H101:L101"/>
    <mergeCell ref="H103:L103"/>
    <mergeCell ref="H92:L92"/>
    <mergeCell ref="H93:L93"/>
    <mergeCell ref="H94:L94"/>
    <mergeCell ref="H95:L95"/>
    <mergeCell ref="H87:L87"/>
    <mergeCell ref="H88:L88"/>
    <mergeCell ref="H89:L89"/>
    <mergeCell ref="H91:L91"/>
    <mergeCell ref="H83:L83"/>
    <mergeCell ref="E84:F84"/>
    <mergeCell ref="H84:L84"/>
    <mergeCell ref="H85:L85"/>
    <mergeCell ref="H78:L78"/>
    <mergeCell ref="H80:L80"/>
    <mergeCell ref="H81:L81"/>
    <mergeCell ref="E82:F82"/>
    <mergeCell ref="H82:L82"/>
    <mergeCell ref="H59:L59"/>
    <mergeCell ref="H39:L39"/>
    <mergeCell ref="H72:L72"/>
    <mergeCell ref="H73:L73"/>
    <mergeCell ref="H74:L74"/>
    <mergeCell ref="H77:L77"/>
    <mergeCell ref="H66:L66"/>
    <mergeCell ref="H68:L68"/>
    <mergeCell ref="H69:L69"/>
    <mergeCell ref="H70:L70"/>
    <mergeCell ref="H64:L64"/>
    <mergeCell ref="H65:L65"/>
    <mergeCell ref="H43:L43"/>
    <mergeCell ref="H42:L42"/>
    <mergeCell ref="H54:L54"/>
    <mergeCell ref="H55:L55"/>
    <mergeCell ref="H56:L56"/>
    <mergeCell ref="H57:L57"/>
    <mergeCell ref="H49:L49"/>
    <mergeCell ref="H50:L50"/>
    <mergeCell ref="H51:L51"/>
    <mergeCell ref="H52:L52"/>
    <mergeCell ref="H45:L45"/>
    <mergeCell ref="H44:L44"/>
    <mergeCell ref="L2:M2"/>
    <mergeCell ref="L3:M3"/>
    <mergeCell ref="H23:L23"/>
    <mergeCell ref="H24:L24"/>
    <mergeCell ref="H25:L25"/>
    <mergeCell ref="H26:L26"/>
    <mergeCell ref="H17:L17"/>
    <mergeCell ref="H18:L18"/>
    <mergeCell ref="H19:L19"/>
    <mergeCell ref="H22:L22"/>
    <mergeCell ref="H11:L11"/>
    <mergeCell ref="B3:F3"/>
    <mergeCell ref="N2:Q2"/>
    <mergeCell ref="H119:L119"/>
    <mergeCell ref="E5:F5"/>
    <mergeCell ref="S5:T6"/>
    <mergeCell ref="H12:L12"/>
    <mergeCell ref="H13:L13"/>
    <mergeCell ref="H15:L15"/>
    <mergeCell ref="H16:L16"/>
    <mergeCell ref="H31:L31"/>
    <mergeCell ref="H32:L32"/>
    <mergeCell ref="H33:L33"/>
    <mergeCell ref="H36:L36"/>
    <mergeCell ref="H27:L27"/>
    <mergeCell ref="H28:L28"/>
    <mergeCell ref="H29:L29"/>
    <mergeCell ref="H30:L30"/>
    <mergeCell ref="H60:L60"/>
    <mergeCell ref="D46:E46"/>
    <mergeCell ref="H46:L46"/>
    <mergeCell ref="H37:L37"/>
    <mergeCell ref="H38:L38"/>
    <mergeCell ref="H40:L40"/>
    <mergeCell ref="H41:L41"/>
  </mergeCells>
  <phoneticPr fontId="21"/>
  <conditionalFormatting sqref="M110:M115 O35:O46 O110:O115 O98:O108 O21:O33 O141:O158 M160:M180 M141:M158 O76:O96 O160:O180 O118:O139 M118:M139 O11:O19 M62:M108 O63:O74 M11:M60 O48:O60">
    <cfRule type="expression" dxfId="133" priority="6" stopIfTrue="1">
      <formula>AND(AB11&gt;0,M11="")</formula>
    </cfRule>
    <cfRule type="expression" dxfId="132" priority="7" stopIfTrue="1">
      <formula>(AB11=0)</formula>
    </cfRule>
  </conditionalFormatting>
  <conditionalFormatting sqref="M10 O10 O20 O34 O47 O62 O75 O97">
    <cfRule type="expression" dxfId="131" priority="8" stopIfTrue="1">
      <formula>AND(AB10&gt;0,M10="")</formula>
    </cfRule>
    <cfRule type="expression" dxfId="130" priority="9" stopIfTrue="1">
      <formula>AND(AB10=0)</formula>
    </cfRule>
  </conditionalFormatting>
  <conditionalFormatting sqref="H122:L123 H149:L150 H127:L132 H87:L89">
    <cfRule type="expression" dxfId="129" priority="10" stopIfTrue="1">
      <formula>M87&gt;3</formula>
    </cfRule>
  </conditionalFormatting>
  <conditionalFormatting sqref="H135:L136 H11:L11 H12:L13 H15:L19 H22:L31 H36:L46 H49:L52 H54:L57 H59:L60 H64:L66 H68:L70 H72:L74 H77:L78 H80:L85 H91:L95 H99:L101 H103:L108 H110:L111 H113:L114 H118:L118 H120:L121 H125:L126 H138:L139 H142:L142 H144:L145 H147:L148 H151:L152 H154:L154 H156:L158 H160:L160 H162:L163 H165:L168 H171:L173 H175:L177 H179:L180">
    <cfRule type="expression" dxfId="128" priority="11" stopIfTrue="1">
      <formula>OR(AND(M11&gt;3,N11&gt;0),AND(O11&gt;3,P11&gt;0))</formula>
    </cfRule>
  </conditionalFormatting>
  <conditionalFormatting sqref="H119:L119">
    <cfRule type="expression" dxfId="127" priority="5" stopIfTrue="1">
      <formula>OR(AND(M119&gt;3,N119&gt;0),AND(O119&gt;3,P119&gt;0))</formula>
    </cfRule>
  </conditionalFormatting>
  <conditionalFormatting sqref="AF48:AO60 AF63:AO108 AF110:AO115 AF119:AO123 AF141:AO158 AF161:AO169 AF10:AJ47 AL10:AO47 AF62:AJ62 AL62:AO62 AF125:AO139">
    <cfRule type="expression" dxfId="126" priority="1">
      <formula>AF$7&gt;0</formula>
    </cfRule>
  </conditionalFormatting>
  <dataValidations xWindow="895" yWindow="482" count="2">
    <dataValidation allowBlank="1" showErrorMessage="1" sqref="V178 X178 V153 X153 V143 V169:V170 V155 X155 V174 X174 X161 V161 X169:X170 V164 X146 V146 X121 V119 X90 X97:X98 X102 X112 X133:X134 X141 X143 V90 V97:V98 V102 V112 X164 V133:V134 V141 X14 X71 V71 V137 V79 V75:V76 V67 V62:V63 V58 V53 V47:V48 V43 V39 V34:V35 V20:V21 V14 V10:V11 X10:X11 X79 X75:X76 X67 X62:X63 X58 X53 X47:X48 X20:X21 X39 X34:X35 V86 X86 X137 X119 W124:X124 M10:O180 W10:W123 W125:W180 AP10:AQ10 AP20 AP34 AP47 AP169 AP75 AP62 AP97 AP110:AP112 AP118:AP119 AP124 AP133 AP141 AP146 AP153 AP160:AP16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Q159 Q109 Q140 Q116:Q117 Q61">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0" fitToHeight="2" orientation="portrait" verticalDpi="4294967293" r:id="rId1"/>
  <headerFooter alignWithMargins="0">
    <oddHeader>&amp;L&amp;F&amp;R&amp;A</oddHeader>
    <oddFooter>&amp;C&amp;P/&amp;N</oddFooter>
  </headerFooter>
  <rowBreaks count="1" manualBreakCount="1">
    <brk id="85" max="1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152"/>
  <sheetViews>
    <sheetView showGridLines="0" workbookViewId="0"/>
  </sheetViews>
  <sheetFormatPr defaultColWidth="0" defaultRowHeight="13.5" zeroHeight="1"/>
  <cols>
    <col min="1" max="1" width="0.875" style="1018" customWidth="1"/>
    <col min="2" max="2" width="17.375" style="1018" customWidth="1"/>
    <col min="3" max="3" width="38" style="1019" customWidth="1"/>
    <col min="4" max="4" width="14.25" style="1018" customWidth="1"/>
    <col min="5" max="5" width="21.25" style="1018" customWidth="1"/>
    <col min="6" max="6" width="1.375" style="1018" customWidth="1"/>
    <col min="7" max="16384" width="0" style="1018" hidden="1"/>
  </cols>
  <sheetData>
    <row r="1" spans="2:7" s="1004" customFormat="1" ht="21">
      <c r="B1" s="1000" t="s">
        <v>2951</v>
      </c>
      <c r="C1" s="1001"/>
      <c r="D1" s="1002" t="s">
        <v>2952</v>
      </c>
      <c r="E1" s="1003" t="str">
        <f>メイン!C11</f>
        <v>○○ビル</v>
      </c>
    </row>
    <row r="2" spans="2:7" s="1008" customFormat="1" thickBot="1">
      <c r="B2" s="1005"/>
      <c r="C2" s="1006"/>
      <c r="D2" s="1006"/>
      <c r="E2" s="1006"/>
      <c r="F2" s="1007"/>
      <c r="G2" s="1007"/>
    </row>
    <row r="3" spans="2:7" s="1004" customFormat="1" ht="21" customHeight="1" thickBot="1">
      <c r="B3" s="1009"/>
      <c r="C3" s="1010" t="s">
        <v>2953</v>
      </c>
      <c r="D3" s="1010"/>
      <c r="E3" s="1011"/>
    </row>
    <row r="4" spans="2:7" s="1013" customFormat="1" ht="81" customHeight="1" thickTop="1">
      <c r="B4" s="1012" t="s">
        <v>2954</v>
      </c>
      <c r="C4" s="2877" t="s">
        <v>2955</v>
      </c>
      <c r="D4" s="2878"/>
      <c r="E4" s="2879"/>
    </row>
    <row r="5" spans="2:7" s="1004" customFormat="1" ht="81" customHeight="1">
      <c r="B5" s="1014" t="s">
        <v>2956</v>
      </c>
      <c r="C5" s="2880" t="s">
        <v>2957</v>
      </c>
      <c r="D5" s="2881"/>
      <c r="E5" s="2882"/>
    </row>
    <row r="6" spans="2:7" s="1004" customFormat="1" ht="81" customHeight="1">
      <c r="B6" s="1014" t="s">
        <v>2958</v>
      </c>
      <c r="C6" s="2880" t="s">
        <v>2111</v>
      </c>
      <c r="D6" s="2881"/>
      <c r="E6" s="2882"/>
    </row>
    <row r="7" spans="2:7" s="1004" customFormat="1" ht="81" customHeight="1">
      <c r="B7" s="1014" t="s">
        <v>2959</v>
      </c>
      <c r="C7" s="2880" t="s">
        <v>2112</v>
      </c>
      <c r="D7" s="2881"/>
      <c r="E7" s="2882"/>
    </row>
    <row r="8" spans="2:7" s="1004" customFormat="1" ht="81" customHeight="1">
      <c r="B8" s="1014" t="s">
        <v>2113</v>
      </c>
      <c r="C8" s="2880" t="s">
        <v>2114</v>
      </c>
      <c r="D8" s="2881"/>
      <c r="E8" s="2882"/>
    </row>
    <row r="9" spans="2:7" s="1004" customFormat="1" ht="81" customHeight="1">
      <c r="B9" s="1014" t="s">
        <v>2960</v>
      </c>
      <c r="C9" s="2880" t="s">
        <v>2115</v>
      </c>
      <c r="D9" s="2881"/>
      <c r="E9" s="2882"/>
    </row>
    <row r="10" spans="2:7" s="1004" customFormat="1" ht="81" customHeight="1" thickBot="1">
      <c r="B10" s="1015" t="s">
        <v>2492</v>
      </c>
      <c r="C10" s="2886" t="s">
        <v>2116</v>
      </c>
      <c r="D10" s="2887"/>
      <c r="E10" s="2888"/>
    </row>
    <row r="11" spans="2:7" s="1004" customFormat="1" ht="122.25" customHeight="1" thickTop="1" thickBot="1">
      <c r="B11" s="1016" t="s">
        <v>2961</v>
      </c>
      <c r="C11" s="2883" t="s">
        <v>2962</v>
      </c>
      <c r="D11" s="2884"/>
      <c r="E11" s="2885"/>
    </row>
    <row r="12" spans="2:7" s="1004" customFormat="1">
      <c r="C12" s="1017"/>
    </row>
    <row r="13" spans="2:7" hidden="1"/>
    <row r="14" spans="2:7" hidden="1"/>
    <row r="15" spans="2:7" hidden="1"/>
    <row r="16" spans="2:7" hidden="1"/>
    <row r="17" hidden="1"/>
    <row r="152" hidden="1"/>
  </sheetData>
  <sheetProtection password="9DA9" sheet="1" objects="1" scenarios="1"/>
  <mergeCells count="8">
    <mergeCell ref="C4:E4"/>
    <mergeCell ref="C9:E9"/>
    <mergeCell ref="C11:E11"/>
    <mergeCell ref="C5:E5"/>
    <mergeCell ref="C6:E6"/>
    <mergeCell ref="C7:E7"/>
    <mergeCell ref="C8:E8"/>
    <mergeCell ref="C10:E10"/>
  </mergeCells>
  <phoneticPr fontId="21"/>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88"/>
  <sheetViews>
    <sheetView showGridLines="0" zoomScaleNormal="100" workbookViewId="0"/>
  </sheetViews>
  <sheetFormatPr defaultColWidth="0" defaultRowHeight="13.5" zeroHeight="1"/>
  <cols>
    <col min="1" max="1" width="1.25" customWidth="1"/>
    <col min="2" max="2" width="5.875" style="144" customWidth="1"/>
    <col min="3" max="3" width="28.125" style="144" customWidth="1"/>
    <col min="4" max="4" width="15" style="144" customWidth="1"/>
    <col min="5" max="5" width="13.125" style="144" customWidth="1"/>
    <col min="6" max="6" width="9.875" customWidth="1"/>
    <col min="7" max="7" width="3" customWidth="1"/>
    <col min="8" max="8" width="4.125" customWidth="1"/>
    <col min="9" max="9" width="29.375" bestFit="1" customWidth="1"/>
    <col min="10" max="10" width="10.75" bestFit="1" customWidth="1"/>
    <col min="11" max="11" width="12.5" bestFit="1" customWidth="1"/>
    <col min="12" max="12" width="4.375" customWidth="1"/>
    <col min="13" max="13" width="2.875" customWidth="1"/>
    <col min="14" max="14" width="5.625" hidden="1" customWidth="1"/>
    <col min="15" max="16" width="14.125" hidden="1" customWidth="1"/>
    <col min="17" max="17" width="2.125" hidden="1" customWidth="1"/>
    <col min="18" max="19" width="14.125" hidden="1" customWidth="1"/>
  </cols>
  <sheetData>
    <row r="1" spans="2:29" s="102" customFormat="1" ht="9.75" customHeight="1" thickBot="1"/>
    <row r="2" spans="2:29" s="107" customFormat="1" ht="18.75">
      <c r="B2" s="103" t="s">
        <v>216</v>
      </c>
      <c r="C2" s="104"/>
      <c r="D2" s="105"/>
      <c r="E2" s="104"/>
      <c r="F2" s="106"/>
      <c r="G2" s="102"/>
      <c r="M2" s="102"/>
      <c r="N2" s="102"/>
      <c r="O2" s="102"/>
      <c r="P2" s="102"/>
      <c r="Q2" s="102"/>
      <c r="R2" s="102"/>
      <c r="S2" s="102"/>
      <c r="T2" s="102"/>
      <c r="U2" s="102"/>
      <c r="V2" s="102"/>
      <c r="W2" s="102"/>
      <c r="X2" s="102"/>
      <c r="Y2" s="102"/>
      <c r="Z2" s="102"/>
      <c r="AA2" s="102"/>
      <c r="AB2" s="102"/>
      <c r="AC2" s="102"/>
    </row>
    <row r="3" spans="2:29" s="107" customFormat="1" ht="21" customHeight="1">
      <c r="B3" s="108" t="s">
        <v>1882</v>
      </c>
      <c r="C3" s="109"/>
      <c r="D3" s="110"/>
      <c r="E3" s="111"/>
      <c r="F3" s="112"/>
      <c r="G3" s="102"/>
      <c r="H3" s="113" t="s">
        <v>2032</v>
      </c>
      <c r="I3" s="114"/>
      <c r="J3" s="114"/>
      <c r="K3" s="114"/>
      <c r="L3" s="115"/>
      <c r="M3" s="102"/>
      <c r="O3" s="116">
        <v>2</v>
      </c>
      <c r="P3" s="102" t="s">
        <v>1883</v>
      </c>
      <c r="Q3" s="102"/>
      <c r="R3" s="102"/>
      <c r="S3" s="102"/>
      <c r="T3" s="102"/>
      <c r="U3" s="102"/>
      <c r="V3" s="102"/>
      <c r="W3" s="102"/>
      <c r="X3" s="102"/>
      <c r="Y3" s="102"/>
      <c r="Z3" s="102"/>
      <c r="AA3" s="102"/>
      <c r="AB3" s="102"/>
      <c r="AC3" s="102"/>
    </row>
    <row r="4" spans="2:29">
      <c r="B4" s="117"/>
      <c r="C4" s="118" t="s">
        <v>1884</v>
      </c>
      <c r="D4" s="118" t="s">
        <v>1885</v>
      </c>
      <c r="E4" s="119"/>
      <c r="F4" s="120"/>
      <c r="H4" s="121" t="s">
        <v>2634</v>
      </c>
      <c r="I4" s="119"/>
      <c r="J4" s="119"/>
      <c r="K4" s="119"/>
      <c r="L4" s="122"/>
    </row>
    <row r="5" spans="2:29">
      <c r="B5" s="117"/>
      <c r="C5" s="123" t="str">
        <f>IF($O$7=0,"根拠を記入してください",$O$7)</f>
        <v>中部電力株式会社</v>
      </c>
      <c r="D5" s="124">
        <f>IF($P$7=0,O9,$P$7)</f>
        <v>5.1599999999999997E-4</v>
      </c>
      <c r="E5" s="119" t="s">
        <v>2635</v>
      </c>
      <c r="F5" s="120"/>
      <c r="H5" s="121" t="s">
        <v>2636</v>
      </c>
      <c r="I5" s="119"/>
      <c r="J5" s="119"/>
      <c r="K5" s="119"/>
      <c r="L5" s="122"/>
    </row>
    <row r="6" spans="2:29">
      <c r="B6" s="117"/>
      <c r="C6" s="119"/>
      <c r="D6" s="119"/>
      <c r="E6" s="119"/>
      <c r="F6" s="120"/>
      <c r="H6" s="121"/>
      <c r="I6" s="125" t="str">
        <f>CO2データ!D105</f>
        <v>北海道電力株式会社</v>
      </c>
      <c r="J6" s="126">
        <f>CO2データ!I105</f>
        <v>6.8800000000000003E-4</v>
      </c>
      <c r="K6" s="121"/>
      <c r="L6" s="127"/>
      <c r="O6" t="s">
        <v>1886</v>
      </c>
      <c r="P6" t="s">
        <v>1887</v>
      </c>
    </row>
    <row r="7" spans="2:29">
      <c r="B7" s="117"/>
      <c r="C7" s="119"/>
      <c r="D7" s="119"/>
      <c r="E7" s="119"/>
      <c r="F7" s="120"/>
      <c r="H7" s="121"/>
      <c r="I7" s="125" t="str">
        <f>CO2データ!D106</f>
        <v>東北電力株式会社</v>
      </c>
      <c r="J7" s="126">
        <f>CO2データ!I106</f>
        <v>5.9999999999999995E-4</v>
      </c>
      <c r="K7" s="121"/>
      <c r="L7" s="127"/>
      <c r="O7" t="str">
        <f>IF($O$3=1,C10,IF($O$3=2,C16,IF($O$3=3,C20,IF($O$3=4,C24,C28))))</f>
        <v>中部電力株式会社</v>
      </c>
      <c r="P7">
        <f>IF($O$3=1,D10,IF($O$3=2,D16,IF($O$3=3,D20,IF($O$3=4,D24,D28))))</f>
        <v>5.1599999999999997E-4</v>
      </c>
    </row>
    <row r="8" spans="2:29">
      <c r="B8" s="117" t="s">
        <v>2637</v>
      </c>
      <c r="C8" s="119"/>
      <c r="D8" s="128"/>
      <c r="E8" s="119"/>
      <c r="F8" s="120"/>
      <c r="H8" s="121"/>
      <c r="I8" s="125" t="str">
        <f>CO2データ!D107</f>
        <v>東京電力株式会社</v>
      </c>
      <c r="J8" s="126">
        <f>CO2データ!I107</f>
        <v>5.2499999999999997E-4</v>
      </c>
      <c r="K8" s="121"/>
      <c r="L8" s="127"/>
    </row>
    <row r="9" spans="2:29">
      <c r="B9" s="117"/>
      <c r="C9" s="118" t="s">
        <v>1884</v>
      </c>
      <c r="D9" s="129" t="s">
        <v>2638</v>
      </c>
      <c r="E9" s="128"/>
      <c r="F9" s="120"/>
      <c r="H9" s="121"/>
      <c r="I9" s="125" t="str">
        <f>CO2データ!D108</f>
        <v>中部電力株式会社</v>
      </c>
      <c r="J9" s="126">
        <f>CO2データ!I108</f>
        <v>5.1599999999999997E-4</v>
      </c>
      <c r="K9" s="121"/>
      <c r="L9" s="127"/>
      <c r="O9" t="s">
        <v>2639</v>
      </c>
    </row>
    <row r="10" spans="2:29">
      <c r="B10" s="117"/>
      <c r="C10" s="130"/>
      <c r="D10" s="131"/>
      <c r="E10" s="119" t="s">
        <v>2640</v>
      </c>
      <c r="F10" s="120"/>
      <c r="H10" s="121"/>
      <c r="I10" s="125" t="str">
        <f>CO2データ!D109</f>
        <v>北陸電力株式会社</v>
      </c>
      <c r="J10" s="126">
        <f>CO2データ!I109</f>
        <v>6.6299999999999996E-4</v>
      </c>
      <c r="K10" s="121"/>
      <c r="L10" s="127"/>
    </row>
    <row r="11" spans="2:29">
      <c r="B11" s="117"/>
      <c r="C11" s="119"/>
      <c r="D11" s="119"/>
      <c r="E11" s="119"/>
      <c r="F11" s="120"/>
      <c r="H11" s="121"/>
      <c r="I11" s="125" t="str">
        <f>CO2データ!D110</f>
        <v>関西電力株式会社</v>
      </c>
      <c r="J11" s="126">
        <f>CO2データ!I110</f>
        <v>5.1400000000000003E-4</v>
      </c>
      <c r="K11" s="121"/>
      <c r="L11" s="127"/>
    </row>
    <row r="12" spans="2:29">
      <c r="B12" s="117" t="s">
        <v>392</v>
      </c>
      <c r="C12" s="119"/>
      <c r="D12" s="119"/>
      <c r="E12" s="119"/>
      <c r="F12" s="120"/>
      <c r="H12" s="121"/>
      <c r="I12" s="125" t="str">
        <f>CO2データ!D111</f>
        <v>中国電力株式会社</v>
      </c>
      <c r="J12" s="126">
        <f>CO2データ!I111</f>
        <v>7.3800000000000005E-4</v>
      </c>
      <c r="K12" s="121"/>
      <c r="L12" s="127"/>
    </row>
    <row r="13" spans="2:29">
      <c r="B13" s="132" t="s">
        <v>2641</v>
      </c>
      <c r="C13" s="2889" t="s">
        <v>2642</v>
      </c>
      <c r="D13" s="2889"/>
      <c r="E13" s="2889"/>
      <c r="F13" s="120"/>
      <c r="H13" s="121"/>
      <c r="I13" s="125" t="str">
        <f>CO2データ!D112</f>
        <v>四国電力株式会社</v>
      </c>
      <c r="J13" s="126">
        <f>CO2データ!I112</f>
        <v>6.9999999999999999E-4</v>
      </c>
      <c r="K13" s="121"/>
      <c r="L13" s="127"/>
    </row>
    <row r="14" spans="2:29">
      <c r="B14" s="132"/>
      <c r="C14" s="2889"/>
      <c r="D14" s="2889"/>
      <c r="E14" s="2889"/>
      <c r="F14" s="120"/>
      <c r="H14" s="121"/>
      <c r="I14" s="125" t="str">
        <f>CO2データ!D113</f>
        <v>九州電力株式会社</v>
      </c>
      <c r="J14" s="126">
        <f>CO2データ!I113</f>
        <v>6.1200000000000002E-4</v>
      </c>
      <c r="K14" s="121"/>
      <c r="L14" s="127"/>
    </row>
    <row r="15" spans="2:29">
      <c r="B15" s="117"/>
      <c r="C15" s="118" t="s">
        <v>393</v>
      </c>
      <c r="D15" s="129" t="s">
        <v>2643</v>
      </c>
      <c r="E15" s="128"/>
      <c r="F15" s="120"/>
      <c r="H15" s="121"/>
      <c r="I15" s="125" t="str">
        <f>CO2データ!D114</f>
        <v>沖縄電力株式会社</v>
      </c>
      <c r="J15" s="126">
        <f>CO2データ!I114</f>
        <v>9.0300000000000005E-4</v>
      </c>
      <c r="K15" s="121"/>
      <c r="L15" s="127"/>
    </row>
    <row r="16" spans="2:29">
      <c r="B16" s="117"/>
      <c r="C16" s="131" t="s">
        <v>2465</v>
      </c>
      <c r="D16" s="135">
        <f>VLOOKUP(C16,C50:D88,2)</f>
        <v>5.1599999999999997E-4</v>
      </c>
      <c r="E16" s="119" t="s">
        <v>394</v>
      </c>
      <c r="F16" s="120"/>
      <c r="H16" s="121"/>
      <c r="I16" s="125" t="str">
        <f>CO2データ!D115</f>
        <v>イーレックス株式会社</v>
      </c>
      <c r="J16" s="126">
        <f>CO2データ!I115</f>
        <v>6.0300000000000002E-4</v>
      </c>
      <c r="K16" s="121"/>
      <c r="L16" s="127"/>
    </row>
    <row r="17" spans="2:12" ht="15" customHeight="1">
      <c r="B17" s="117"/>
      <c r="C17" s="133"/>
      <c r="D17" s="133"/>
      <c r="E17" s="133"/>
      <c r="F17" s="120"/>
      <c r="H17" s="121"/>
      <c r="I17" s="125" t="str">
        <f>CO2データ!D116</f>
        <v>出光グリーンパワー株式会社</v>
      </c>
      <c r="J17" s="126">
        <f>CO2データ!I116</f>
        <v>8.6000000000000003E-5</v>
      </c>
      <c r="K17" s="121"/>
      <c r="L17" s="127"/>
    </row>
    <row r="18" spans="2:12" ht="15" customHeight="1">
      <c r="B18" s="132" t="s">
        <v>2644</v>
      </c>
      <c r="C18" s="119" t="s">
        <v>395</v>
      </c>
      <c r="D18" s="128"/>
      <c r="E18" s="119"/>
      <c r="F18" s="120"/>
      <c r="H18" s="121"/>
      <c r="I18" s="125" t="str">
        <f>CO2データ!D117</f>
        <v>伊藤忠エネクス株式会社</v>
      </c>
      <c r="J18" s="126">
        <f>CO2データ!I117</f>
        <v>6.7599999999999995E-4</v>
      </c>
      <c r="K18" s="121"/>
      <c r="L18" s="127"/>
    </row>
    <row r="19" spans="2:12" ht="15" customHeight="1">
      <c r="B19" s="117"/>
      <c r="C19" s="118" t="s">
        <v>1884</v>
      </c>
      <c r="D19" s="129" t="s">
        <v>2638</v>
      </c>
      <c r="E19" s="128"/>
      <c r="F19" s="120"/>
      <c r="H19" s="121"/>
      <c r="I19" s="125" t="str">
        <f>CO2データ!D118</f>
        <v>エネサーブ株式会社</v>
      </c>
      <c r="J19" s="126">
        <f>CO2データ!I118</f>
        <v>6.1600000000000001E-4</v>
      </c>
      <c r="K19" s="121"/>
      <c r="L19" s="127"/>
    </row>
    <row r="20" spans="2:12" ht="15" customHeight="1">
      <c r="B20" s="117"/>
      <c r="C20" s="130"/>
      <c r="D20" s="131"/>
      <c r="E20" s="119" t="s">
        <v>2640</v>
      </c>
      <c r="F20" s="120"/>
      <c r="H20" s="121"/>
      <c r="I20" s="125" t="str">
        <f>CO2データ!D119</f>
        <v>荏原環境プラント株式会社</v>
      </c>
      <c r="J20" s="126">
        <f>CO2データ!I119</f>
        <v>4.5600000000000003E-4</v>
      </c>
      <c r="K20" s="121"/>
      <c r="L20" s="127"/>
    </row>
    <row r="21" spans="2:12" ht="15" customHeight="1">
      <c r="B21" s="117"/>
      <c r="C21" s="133"/>
      <c r="D21" s="133"/>
      <c r="E21" s="133"/>
      <c r="F21" s="120"/>
      <c r="H21" s="121"/>
      <c r="I21" s="125" t="str">
        <f>CO2データ!D120</f>
        <v>王子製紙株式会社</v>
      </c>
      <c r="J21" s="126">
        <f>CO2データ!I120</f>
        <v>4.75E-4</v>
      </c>
      <c r="K21" s="121"/>
      <c r="L21" s="127"/>
    </row>
    <row r="22" spans="2:12" ht="15" customHeight="1">
      <c r="B22" s="132" t="s">
        <v>2645</v>
      </c>
      <c r="C22" s="119" t="s">
        <v>2646</v>
      </c>
      <c r="D22" s="119"/>
      <c r="E22" s="119"/>
      <c r="F22" s="120"/>
      <c r="H22" s="121"/>
      <c r="I22" s="125" t="str">
        <f>CO2データ!D121</f>
        <v>オリックス株式会社</v>
      </c>
      <c r="J22" s="126">
        <f>CO2データ!I121</f>
        <v>7.6199999999999998E-4</v>
      </c>
      <c r="K22" s="121"/>
      <c r="L22" s="127"/>
    </row>
    <row r="23" spans="2:12" ht="15" customHeight="1">
      <c r="B23" s="132"/>
      <c r="C23" s="118" t="s">
        <v>236</v>
      </c>
      <c r="D23" s="129" t="s">
        <v>1888</v>
      </c>
      <c r="E23" s="119"/>
      <c r="F23" s="120"/>
      <c r="H23" s="121"/>
      <c r="I23" s="125" t="str">
        <f>CO2データ!D122</f>
        <v>株式会社イーセル</v>
      </c>
      <c r="J23" s="126">
        <f>CO2データ!I122</f>
        <v>0</v>
      </c>
      <c r="K23" s="121"/>
      <c r="L23" s="127"/>
    </row>
    <row r="24" spans="2:12" ht="15" customHeight="1">
      <c r="B24" s="117"/>
      <c r="C24" s="134" t="s">
        <v>235</v>
      </c>
      <c r="D24" s="135" t="str">
        <f>IF($O$3=4,J46,"")</f>
        <v/>
      </c>
      <c r="E24" s="119" t="s">
        <v>2647</v>
      </c>
      <c r="F24" s="120"/>
      <c r="H24" s="121"/>
      <c r="I24" s="125" t="str">
        <f>CO2データ!D123</f>
        <v>株式会社エネット</v>
      </c>
      <c r="J24" s="126">
        <f>CO2データ!I123</f>
        <v>4.2900000000000002E-4</v>
      </c>
      <c r="K24" s="121"/>
      <c r="L24" s="127"/>
    </row>
    <row r="25" spans="2:12" ht="15" customHeight="1">
      <c r="B25" s="117"/>
      <c r="C25" s="119"/>
      <c r="D25" s="119"/>
      <c r="E25" s="119"/>
      <c r="F25" s="120"/>
      <c r="H25" s="121"/>
      <c r="I25" s="125" t="str">
        <f>CO2データ!D124</f>
        <v>株式会社Ｆ－Ｐｏｗｅｒ</v>
      </c>
      <c r="J25" s="126">
        <f>CO2データ!I124</f>
        <v>5.2499999999999997E-4</v>
      </c>
      <c r="K25" s="121"/>
      <c r="L25" s="127"/>
    </row>
    <row r="26" spans="2:12" ht="15" customHeight="1">
      <c r="B26" s="117" t="s">
        <v>2648</v>
      </c>
      <c r="C26" s="119"/>
      <c r="D26" s="128"/>
      <c r="E26" s="119"/>
      <c r="F26" s="120"/>
      <c r="H26" s="121"/>
      <c r="I26" s="125" t="str">
        <f>CO2データ!D125</f>
        <v>株式会社Ｇ－Ｐｏｗｅｒ</v>
      </c>
      <c r="J26" s="126">
        <f>CO2データ!I125</f>
        <v>4.4099999999999999E-4</v>
      </c>
      <c r="K26" s="121"/>
      <c r="L26" s="127"/>
    </row>
    <row r="27" spans="2:12" ht="15" customHeight="1">
      <c r="B27" s="117"/>
      <c r="C27" s="118" t="s">
        <v>1884</v>
      </c>
      <c r="D27" s="129" t="s">
        <v>2638</v>
      </c>
      <c r="E27" s="128"/>
      <c r="F27" s="120"/>
      <c r="H27" s="121"/>
      <c r="I27" s="125" t="str">
        <f>CO2データ!D126</f>
        <v>株式会社日本セレモニー</v>
      </c>
      <c r="J27" s="126">
        <f>CO2データ!I126</f>
        <v>7.9699999999999997E-4</v>
      </c>
      <c r="K27" s="121"/>
      <c r="L27" s="127"/>
    </row>
    <row r="28" spans="2:12" ht="15" customHeight="1">
      <c r="B28" s="117"/>
      <c r="C28" s="130"/>
      <c r="D28" s="131"/>
      <c r="E28" s="119" t="s">
        <v>2640</v>
      </c>
      <c r="F28" s="120"/>
      <c r="H28" s="121"/>
      <c r="I28" s="125" t="str">
        <f>CO2データ!D127</f>
        <v>サミットエナジー株式会社</v>
      </c>
      <c r="J28" s="126">
        <f>CO2データ!I127</f>
        <v>4.3800000000000002E-4</v>
      </c>
      <c r="K28" s="121"/>
      <c r="L28" s="127"/>
    </row>
    <row r="29" spans="2:12" ht="15" customHeight="1">
      <c r="B29" s="117"/>
      <c r="C29" s="2292"/>
      <c r="D29" s="2292"/>
      <c r="E29" s="119"/>
      <c r="F29" s="120"/>
      <c r="H29" s="121"/>
      <c r="I29" s="125" t="str">
        <f>CO2データ!D128</f>
        <v>ＪＸ日鉱日石エネルギー株式会社</v>
      </c>
      <c r="J29" s="126">
        <f>CO2データ!I128</f>
        <v>3.6699999999999998E-4</v>
      </c>
      <c r="K29" s="121"/>
      <c r="L29" s="127"/>
    </row>
    <row r="30" spans="2:12" ht="15" customHeight="1">
      <c r="B30" s="117"/>
      <c r="C30" s="2292"/>
      <c r="D30" s="2292"/>
      <c r="E30" s="119"/>
      <c r="F30" s="120"/>
      <c r="H30" s="121"/>
      <c r="I30" s="125" t="str">
        <f>CO2データ!D129</f>
        <v>ＪＥＮホールディングス株式会社</v>
      </c>
      <c r="J30" s="126">
        <f>CO2データ!I129</f>
        <v>4.9399999999999997E-4</v>
      </c>
      <c r="K30" s="121"/>
      <c r="L30" s="127"/>
    </row>
    <row r="31" spans="2:12" ht="15" customHeight="1">
      <c r="B31" s="117"/>
      <c r="C31" s="2292"/>
      <c r="D31" s="2292"/>
      <c r="E31" s="119"/>
      <c r="F31" s="120"/>
      <c r="H31" s="121"/>
      <c r="I31" s="125" t="str">
        <f>CO2データ!D130</f>
        <v>志賀高原リゾート開発株式会社</v>
      </c>
      <c r="J31" s="126">
        <f>CO2データ!I130</f>
        <v>3.1199999999999999E-4</v>
      </c>
      <c r="K31" s="121"/>
      <c r="L31" s="127"/>
    </row>
    <row r="32" spans="2:12" ht="15" customHeight="1">
      <c r="B32" s="117"/>
      <c r="C32" s="2292"/>
      <c r="D32" s="2292"/>
      <c r="E32" s="119"/>
      <c r="F32" s="120"/>
      <c r="H32" s="121"/>
      <c r="I32" s="125" t="str">
        <f>CO2データ!D131</f>
        <v>昭和シェル石油株式会社</v>
      </c>
      <c r="J32" s="126">
        <f>CO2データ!I131</f>
        <v>3.6699999999999998E-4</v>
      </c>
      <c r="K32" s="121"/>
      <c r="L32" s="127"/>
    </row>
    <row r="33" spans="2:12" ht="15" customHeight="1">
      <c r="B33" s="117"/>
      <c r="C33" s="2292"/>
      <c r="D33" s="2292"/>
      <c r="E33" s="119"/>
      <c r="F33" s="120"/>
      <c r="H33" s="121"/>
      <c r="I33" s="125" t="str">
        <f>CO2データ!D132</f>
        <v>新日鉄住金エンジニアリング株式会社</v>
      </c>
      <c r="J33" s="126">
        <f>CO2データ!I132</f>
        <v>6.5499999999999998E-4</v>
      </c>
      <c r="K33" s="121"/>
      <c r="L33" s="127"/>
    </row>
    <row r="34" spans="2:12" ht="15" customHeight="1">
      <c r="B34" s="117"/>
      <c r="C34" s="2292"/>
      <c r="D34" s="2292"/>
      <c r="E34" s="119"/>
      <c r="F34" s="120"/>
      <c r="H34" s="121"/>
      <c r="I34" s="125" t="str">
        <f>CO2データ!D133</f>
        <v>泉北天然ガス発電株式会社</v>
      </c>
      <c r="J34" s="126">
        <f>CO2データ!I133</f>
        <v>3.88E-4</v>
      </c>
      <c r="K34" s="121"/>
      <c r="L34" s="127"/>
    </row>
    <row r="35" spans="2:12" ht="15" customHeight="1">
      <c r="B35" s="117"/>
      <c r="C35" s="2292"/>
      <c r="D35" s="2292"/>
      <c r="E35" s="119"/>
      <c r="F35" s="120"/>
      <c r="H35" s="121"/>
      <c r="I35" s="125" t="str">
        <f>CO2データ!D134</f>
        <v>ダイヤモンドパワー株式会社</v>
      </c>
      <c r="J35" s="126">
        <f>CO2データ!I134</f>
        <v>4.3100000000000001E-4</v>
      </c>
      <c r="K35" s="121"/>
      <c r="L35" s="127"/>
    </row>
    <row r="36" spans="2:12" ht="15" customHeight="1">
      <c r="B36" s="117"/>
      <c r="C36" s="2292"/>
      <c r="D36" s="2292"/>
      <c r="E36" s="119"/>
      <c r="F36" s="120"/>
      <c r="H36" s="121"/>
      <c r="I36" s="125" t="str">
        <f>CO2データ!D135</f>
        <v>テス・エンジニアリング株式会社</v>
      </c>
      <c r="J36" s="126">
        <f>CO2データ!I135</f>
        <v>4.9399999999999997E-4</v>
      </c>
      <c r="K36" s="121"/>
      <c r="L36" s="127"/>
    </row>
    <row r="37" spans="2:12" ht="15" customHeight="1">
      <c r="B37" s="117"/>
      <c r="C37" s="2292"/>
      <c r="D37" s="2292"/>
      <c r="E37" s="119"/>
      <c r="F37" s="120"/>
      <c r="H37" s="121"/>
      <c r="I37" s="125" t="str">
        <f>CO2データ!D136</f>
        <v>東京エコサービス株式会社</v>
      </c>
      <c r="J37" s="126">
        <f>CO2データ!I136</f>
        <v>9.2E-5</v>
      </c>
      <c r="K37" s="121"/>
      <c r="L37" s="127"/>
    </row>
    <row r="38" spans="2:12" ht="15" customHeight="1">
      <c r="B38" s="117"/>
      <c r="C38" s="2292"/>
      <c r="D38" s="2292"/>
      <c r="E38" s="119"/>
      <c r="F38" s="120"/>
      <c r="H38" s="121"/>
      <c r="I38" s="125" t="str">
        <f>CO2データ!D137</f>
        <v>日本テクノ株式会社</v>
      </c>
      <c r="J38" s="126">
        <f>CO2データ!I137</f>
        <v>5.0799999999999999E-4</v>
      </c>
      <c r="K38" s="121"/>
      <c r="L38" s="127"/>
    </row>
    <row r="39" spans="2:12" ht="15" customHeight="1">
      <c r="B39" s="117"/>
      <c r="C39" s="2292"/>
      <c r="D39" s="2292"/>
      <c r="E39" s="119"/>
      <c r="F39" s="120"/>
      <c r="H39" s="121"/>
      <c r="I39" s="125" t="str">
        <f>CO2データ!D138</f>
        <v>日本ロジテック協同組合</v>
      </c>
      <c r="J39" s="126">
        <f>CO2データ!I138</f>
        <v>4.86E-4</v>
      </c>
      <c r="K39" s="121"/>
      <c r="L39" s="127"/>
    </row>
    <row r="40" spans="2:12" ht="15" customHeight="1">
      <c r="B40" s="117"/>
      <c r="C40" s="2292"/>
      <c r="D40" s="2292"/>
      <c r="E40" s="119"/>
      <c r="F40" s="120"/>
      <c r="H40" s="121"/>
      <c r="I40" s="125" t="str">
        <f>CO2データ!D139</f>
        <v>パナソニック株式会社</v>
      </c>
      <c r="J40" s="126">
        <f>CO2データ!I139</f>
        <v>4.9799999999999996E-4</v>
      </c>
      <c r="K40" s="121"/>
      <c r="L40" s="127"/>
    </row>
    <row r="41" spans="2:12" ht="15" customHeight="1">
      <c r="B41" s="117"/>
      <c r="C41" s="2292"/>
      <c r="D41" s="2292"/>
      <c r="E41" s="119"/>
      <c r="F41" s="120"/>
      <c r="H41" s="121"/>
      <c r="I41" s="125" t="str">
        <f>CO2データ!D140</f>
        <v>プレミアムグリーンパワー株式会社</v>
      </c>
      <c r="J41" s="126">
        <f>CO2データ!I140</f>
        <v>1.8E-5</v>
      </c>
      <c r="K41" s="121"/>
      <c r="L41" s="127"/>
    </row>
    <row r="42" spans="2:12" ht="15" customHeight="1">
      <c r="B42" s="117"/>
      <c r="C42" s="2292"/>
      <c r="D42" s="2292"/>
      <c r="E42" s="119"/>
      <c r="F42" s="120"/>
      <c r="H42" s="121"/>
      <c r="I42" s="125" t="str">
        <f>CO2データ!D141</f>
        <v>丸紅株式会社</v>
      </c>
      <c r="J42" s="126">
        <f>CO2データ!I141</f>
        <v>3.7800000000000003E-4</v>
      </c>
      <c r="K42" s="121"/>
      <c r="L42" s="127"/>
    </row>
    <row r="43" spans="2:12" ht="15" customHeight="1">
      <c r="B43" s="117"/>
      <c r="C43" s="2292"/>
      <c r="D43" s="2292"/>
      <c r="E43" s="119"/>
      <c r="F43" s="120"/>
      <c r="H43" s="121"/>
      <c r="I43" s="125" t="str">
        <f>CO2データ!D142</f>
        <v>ミツウロコグリーンエネルギー株式会社</v>
      </c>
      <c r="J43" s="126">
        <f>CO2データ!I142</f>
        <v>3.6600000000000001E-4</v>
      </c>
      <c r="K43" s="121"/>
      <c r="L43" s="127"/>
    </row>
    <row r="44" spans="2:12">
      <c r="B44" s="136"/>
      <c r="C44" s="119"/>
      <c r="D44" s="119"/>
      <c r="E44" s="119"/>
      <c r="F44" s="120"/>
      <c r="H44" s="121"/>
      <c r="I44" s="125" t="str">
        <f>CO2データ!D143</f>
        <v>リエスパワー株式会社</v>
      </c>
      <c r="J44" s="126">
        <f>CO2データ!I143</f>
        <v>4.2000000000000002E-4</v>
      </c>
      <c r="K44" s="121" t="s">
        <v>2640</v>
      </c>
      <c r="L44" s="127"/>
    </row>
    <row r="45" spans="2:12">
      <c r="B45" s="136"/>
      <c r="C45" s="119"/>
      <c r="D45" s="119"/>
      <c r="E45" s="119"/>
      <c r="F45" s="120"/>
      <c r="H45" s="121" t="s">
        <v>237</v>
      </c>
      <c r="I45" s="119"/>
      <c r="J45" s="119"/>
      <c r="K45" s="119"/>
      <c r="L45" s="127"/>
    </row>
    <row r="46" spans="2:12">
      <c r="B46" s="136"/>
      <c r="C46" s="119"/>
      <c r="D46" s="119"/>
      <c r="E46" s="119"/>
      <c r="F46" s="120"/>
      <c r="H46" s="121"/>
      <c r="I46" s="137" t="str">
        <f>CO2データ!D145</f>
        <v>代替値</v>
      </c>
      <c r="J46" s="126">
        <f>CO2データ!I145</f>
        <v>5.5000000000000003E-4</v>
      </c>
      <c r="K46" s="121" t="s">
        <v>394</v>
      </c>
      <c r="L46" s="127"/>
    </row>
    <row r="47" spans="2:12" ht="14.25" thickBot="1">
      <c r="B47" s="138"/>
      <c r="C47" s="139"/>
      <c r="D47" s="139"/>
      <c r="E47" s="139"/>
      <c r="F47" s="140"/>
      <c r="H47" s="141"/>
      <c r="I47" s="142"/>
      <c r="J47" s="142"/>
      <c r="K47" s="142"/>
      <c r="L47" s="143"/>
    </row>
    <row r="48" spans="2:12">
      <c r="H48" s="144"/>
      <c r="I48" s="144"/>
      <c r="J48" s="144"/>
      <c r="K48" s="144"/>
    </row>
    <row r="49" spans="2:10" hidden="1">
      <c r="B49" s="144" t="s">
        <v>238</v>
      </c>
      <c r="D49" s="144" t="str">
        <f>CO2データ!I104</f>
        <v>実排出係数及び代替値</v>
      </c>
      <c r="F49" s="144" t="str">
        <f>CO2データ!K104</f>
        <v>調整後排出係数</v>
      </c>
      <c r="G49" s="144"/>
      <c r="H49" s="144"/>
    </row>
    <row r="50" spans="2:10" hidden="1">
      <c r="C50" s="1789" t="s">
        <v>2021</v>
      </c>
      <c r="D50" s="144">
        <f>CO2データ!I129</f>
        <v>4.9399999999999997E-4</v>
      </c>
      <c r="F50" s="144">
        <f>CO2データ!K129</f>
        <v>4.8999999999999998E-4</v>
      </c>
      <c r="I50" s="145" t="s">
        <v>1189</v>
      </c>
      <c r="J50">
        <f>IF(C5=C16,VLOOKUP(C5,C50:F88,4),"N.A.")</f>
        <v>3.7300000000000001E-4</v>
      </c>
    </row>
    <row r="51" spans="2:10" hidden="1">
      <c r="C51" s="1789" t="s">
        <v>2020</v>
      </c>
      <c r="D51" s="144">
        <f>CO2データ!I128</f>
        <v>3.6699999999999998E-4</v>
      </c>
      <c r="F51" s="144">
        <f>CO2データ!K128</f>
        <v>3.6400000000000001E-4</v>
      </c>
      <c r="I51" s="145" t="s">
        <v>1191</v>
      </c>
      <c r="J51">
        <f>D16-J50</f>
        <v>1.4299999999999995E-4</v>
      </c>
    </row>
    <row r="52" spans="2:10" hidden="1">
      <c r="C52" s="1789" t="s">
        <v>1190</v>
      </c>
      <c r="D52" s="144">
        <f>CO2データ!I115</f>
        <v>6.0300000000000002E-4</v>
      </c>
      <c r="F52" s="144">
        <f>CO2データ!K115</f>
        <v>4.28E-4</v>
      </c>
    </row>
    <row r="53" spans="2:10" hidden="1">
      <c r="C53" s="1789" t="s">
        <v>1192</v>
      </c>
      <c r="D53" s="144">
        <f>CO2データ!I118</f>
        <v>6.1600000000000001E-4</v>
      </c>
      <c r="F53" s="144">
        <f>CO2データ!K118</f>
        <v>4.8200000000000001E-4</v>
      </c>
    </row>
    <row r="54" spans="2:10" hidden="1">
      <c r="C54" s="1789" t="s">
        <v>2016</v>
      </c>
      <c r="D54" s="144">
        <f>CO2データ!I121</f>
        <v>7.6199999999999998E-4</v>
      </c>
      <c r="F54" s="144">
        <f>CO2データ!K121</f>
        <v>7.5699999999999997E-4</v>
      </c>
    </row>
    <row r="55" spans="2:10" hidden="1">
      <c r="C55" s="1789" t="s">
        <v>1193</v>
      </c>
      <c r="D55" s="144">
        <f>CO2データ!I127</f>
        <v>4.3800000000000002E-4</v>
      </c>
      <c r="F55" s="144">
        <f>CO2データ!K127</f>
        <v>2.5900000000000001E-4</v>
      </c>
    </row>
    <row r="56" spans="2:10" hidden="1">
      <c r="C56" s="1789" t="s">
        <v>1194</v>
      </c>
      <c r="D56" s="144">
        <f>CO2データ!I134</f>
        <v>4.3100000000000001E-4</v>
      </c>
      <c r="F56" s="144">
        <f>CO2データ!K134</f>
        <v>4.2700000000000002E-4</v>
      </c>
    </row>
    <row r="57" spans="2:10" hidden="1">
      <c r="C57" s="1789" t="s">
        <v>2025</v>
      </c>
      <c r="D57" s="144">
        <f>CO2データ!I135</f>
        <v>4.9399999999999997E-4</v>
      </c>
      <c r="F57" s="144">
        <f>CO2データ!K135</f>
        <v>4.8999999999999998E-4</v>
      </c>
    </row>
    <row r="58" spans="2:10" hidden="1">
      <c r="C58" s="1789" t="s">
        <v>1195</v>
      </c>
      <c r="D58" s="144">
        <f>CO2データ!I139</f>
        <v>4.9799999999999996E-4</v>
      </c>
      <c r="F58" s="144">
        <f>CO2データ!K139</f>
        <v>4.9200000000000003E-4</v>
      </c>
    </row>
    <row r="59" spans="2:10" hidden="1">
      <c r="C59" s="1789" t="s">
        <v>2029</v>
      </c>
      <c r="D59" s="144">
        <f>CO2データ!I140</f>
        <v>1.8E-5</v>
      </c>
      <c r="F59" s="144">
        <f>CO2データ!K140</f>
        <v>2.1999999999999999E-5</v>
      </c>
    </row>
    <row r="60" spans="2:10" hidden="1">
      <c r="C60" s="1789" t="s">
        <v>2030</v>
      </c>
      <c r="D60" s="144">
        <f>CO2データ!I142</f>
        <v>3.6600000000000001E-4</v>
      </c>
      <c r="F60" s="144">
        <f>CO2データ!K142</f>
        <v>4.4499999999999997E-4</v>
      </c>
    </row>
    <row r="61" spans="2:10" hidden="1">
      <c r="C61" s="1789" t="s">
        <v>2031</v>
      </c>
      <c r="D61" s="144">
        <f>CO2データ!I143</f>
        <v>4.2000000000000002E-4</v>
      </c>
      <c r="F61" s="144">
        <f>CO2データ!K143</f>
        <v>0</v>
      </c>
    </row>
    <row r="62" spans="2:10" hidden="1">
      <c r="C62" s="1789" t="s">
        <v>2014</v>
      </c>
      <c r="D62" s="144">
        <f>CO2データ!I117</f>
        <v>6.7599999999999995E-4</v>
      </c>
      <c r="F62" s="144">
        <f>CO2データ!K117</f>
        <v>2.9300000000000002E-4</v>
      </c>
    </row>
    <row r="63" spans="2:10" hidden="1">
      <c r="C63" s="1789" t="s">
        <v>2015</v>
      </c>
      <c r="D63" s="144">
        <f>CO2データ!I119</f>
        <v>4.5600000000000003E-4</v>
      </c>
      <c r="F63" s="144">
        <f>CO2データ!K119</f>
        <v>4.5600000000000003E-4</v>
      </c>
    </row>
    <row r="64" spans="2:10" hidden="1">
      <c r="C64" s="1789" t="s">
        <v>2455</v>
      </c>
      <c r="D64" s="144">
        <f>CO2データ!I120</f>
        <v>4.75E-4</v>
      </c>
      <c r="F64" s="144">
        <f>CO2データ!K120</f>
        <v>4.7100000000000001E-4</v>
      </c>
    </row>
    <row r="65" spans="3:6" hidden="1">
      <c r="C65" s="1789" t="s">
        <v>2456</v>
      </c>
      <c r="D65" s="144">
        <f>CO2データ!I114</f>
        <v>9.0300000000000005E-4</v>
      </c>
      <c r="F65" s="144">
        <f>CO2データ!K114</f>
        <v>6.9200000000000002E-4</v>
      </c>
    </row>
    <row r="66" spans="3:6" hidden="1">
      <c r="C66" s="1789" t="s">
        <v>2457</v>
      </c>
      <c r="D66" s="144">
        <f>CO2データ!I124</f>
        <v>5.2499999999999997E-4</v>
      </c>
      <c r="F66" s="144">
        <f>CO2データ!K124</f>
        <v>4.4499999999999997E-4</v>
      </c>
    </row>
    <row r="67" spans="3:6" hidden="1">
      <c r="C67" s="1789" t="s">
        <v>2018</v>
      </c>
      <c r="D67" s="144">
        <f>CO2データ!I125</f>
        <v>4.4099999999999999E-4</v>
      </c>
      <c r="F67" s="144">
        <f>CO2データ!K125</f>
        <v>0</v>
      </c>
    </row>
    <row r="68" spans="3:6" hidden="1">
      <c r="C68" s="1789" t="s">
        <v>2017</v>
      </c>
      <c r="D68" s="144">
        <f>CO2データ!I122</f>
        <v>0</v>
      </c>
      <c r="F68" s="144">
        <f>CO2データ!K122</f>
        <v>0</v>
      </c>
    </row>
    <row r="69" spans="3:6" hidden="1">
      <c r="C69" s="1789" t="s">
        <v>2458</v>
      </c>
      <c r="D69" s="144">
        <f>CO2データ!I123</f>
        <v>4.2900000000000002E-4</v>
      </c>
      <c r="F69" s="144">
        <f>CO2データ!K123</f>
        <v>4.2700000000000002E-4</v>
      </c>
    </row>
    <row r="70" spans="3:6" hidden="1">
      <c r="C70" s="1789" t="s">
        <v>2019</v>
      </c>
      <c r="D70" s="144">
        <f>CO2データ!I126</f>
        <v>7.9699999999999997E-4</v>
      </c>
      <c r="F70" s="144">
        <f>CO2データ!K126</f>
        <v>7.8899999999999999E-4</v>
      </c>
    </row>
    <row r="71" spans="3:6" hidden="1">
      <c r="C71" s="1789" t="s">
        <v>2459</v>
      </c>
      <c r="D71" s="144">
        <f>CO2データ!I110</f>
        <v>5.1400000000000003E-4</v>
      </c>
      <c r="F71" s="144">
        <f>CO2データ!K110</f>
        <v>4.75E-4</v>
      </c>
    </row>
    <row r="72" spans="3:6" hidden="1">
      <c r="C72" s="1789" t="s">
        <v>2460</v>
      </c>
      <c r="D72" s="144">
        <f>CO2データ!I141</f>
        <v>3.7800000000000003E-4</v>
      </c>
      <c r="F72" s="144">
        <f>CO2データ!K141</f>
        <v>3.2400000000000001E-4</v>
      </c>
    </row>
    <row r="73" spans="3:6" hidden="1">
      <c r="C73" s="1789" t="s">
        <v>2461</v>
      </c>
      <c r="D73" s="144">
        <f>CO2データ!I113</f>
        <v>6.1200000000000002E-4</v>
      </c>
      <c r="F73" s="144">
        <f>CO2データ!K113</f>
        <v>5.9900000000000003E-4</v>
      </c>
    </row>
    <row r="74" spans="3:6" hidden="1">
      <c r="C74" s="1789" t="s">
        <v>2462</v>
      </c>
      <c r="D74" s="144">
        <f>CO2データ!I112</f>
        <v>6.9999999999999999E-4</v>
      </c>
      <c r="F74" s="144">
        <f>CO2データ!K112</f>
        <v>6.5600000000000001E-4</v>
      </c>
    </row>
    <row r="75" spans="3:6" hidden="1">
      <c r="C75" s="1789" t="s">
        <v>2022</v>
      </c>
      <c r="D75" s="144">
        <f>CO2データ!I130</f>
        <v>3.1199999999999999E-4</v>
      </c>
      <c r="F75" s="144">
        <f>CO2データ!K130</f>
        <v>3.0899999999999998E-4</v>
      </c>
    </row>
    <row r="76" spans="3:6" hidden="1">
      <c r="C76" s="1789" t="s">
        <v>2013</v>
      </c>
      <c r="D76" s="144">
        <f>CO2データ!I116</f>
        <v>8.6000000000000003E-5</v>
      </c>
      <c r="F76" s="144">
        <f>CO2データ!K116</f>
        <v>1.06E-4</v>
      </c>
    </row>
    <row r="77" spans="3:6" hidden="1">
      <c r="C77" s="1789" t="s">
        <v>2463</v>
      </c>
      <c r="D77" s="144">
        <f>CO2データ!I131</f>
        <v>3.6699999999999998E-4</v>
      </c>
      <c r="F77" s="144">
        <f>CO2データ!K131</f>
        <v>3.6400000000000001E-4</v>
      </c>
    </row>
    <row r="78" spans="3:6" hidden="1">
      <c r="C78" s="1789" t="s">
        <v>2023</v>
      </c>
      <c r="D78" s="144">
        <f>CO2データ!I132</f>
        <v>6.5499999999999998E-4</v>
      </c>
      <c r="F78" s="144">
        <f>CO2データ!K132</f>
        <v>6.5399999999999996E-4</v>
      </c>
    </row>
    <row r="79" spans="3:6" hidden="1">
      <c r="C79" s="1789" t="s">
        <v>2024</v>
      </c>
      <c r="D79" s="144">
        <f>CO2データ!I133</f>
        <v>3.88E-4</v>
      </c>
      <c r="F79" s="144">
        <f>CO2データ!K133</f>
        <v>3.8499999999999998E-4</v>
      </c>
    </row>
    <row r="80" spans="3:6" hidden="1">
      <c r="C80" s="1789" t="s">
        <v>2464</v>
      </c>
      <c r="D80" s="144">
        <f>CO2データ!I111</f>
        <v>7.3800000000000005E-4</v>
      </c>
      <c r="F80" s="144">
        <f>CO2データ!K111</f>
        <v>6.7199999999999996E-4</v>
      </c>
    </row>
    <row r="81" spans="3:6" hidden="1">
      <c r="C81" s="1789" t="s">
        <v>2465</v>
      </c>
      <c r="D81" s="144">
        <f>CO2データ!I108</f>
        <v>5.1599999999999997E-4</v>
      </c>
      <c r="F81" s="144">
        <f>CO2データ!K108</f>
        <v>3.7300000000000001E-4</v>
      </c>
    </row>
    <row r="82" spans="3:6" hidden="1">
      <c r="C82" s="1789" t="s">
        <v>2026</v>
      </c>
      <c r="D82" s="144">
        <f>CO2データ!I136</f>
        <v>9.2E-5</v>
      </c>
      <c r="F82" s="144">
        <f>CO2データ!K136</f>
        <v>9.1000000000000003E-5</v>
      </c>
    </row>
    <row r="83" spans="3:6" hidden="1">
      <c r="C83" s="1789" t="s">
        <v>2466</v>
      </c>
      <c r="D83" s="144">
        <f>CO2データ!I107</f>
        <v>5.2499999999999997E-4</v>
      </c>
      <c r="F83" s="144">
        <f>CO2データ!K107</f>
        <v>4.06E-4</v>
      </c>
    </row>
    <row r="84" spans="3:6" hidden="1">
      <c r="C84" s="1789" t="s">
        <v>2467</v>
      </c>
      <c r="D84" s="144">
        <f>CO2データ!I106</f>
        <v>5.9999999999999995E-4</v>
      </c>
      <c r="F84" s="144">
        <f>CO2データ!K106</f>
        <v>5.5999999999999995E-4</v>
      </c>
    </row>
    <row r="85" spans="3:6" hidden="1">
      <c r="C85" s="1789" t="s">
        <v>2027</v>
      </c>
      <c r="D85" s="144">
        <f>CO2データ!I137</f>
        <v>5.0799999999999999E-4</v>
      </c>
      <c r="F85" s="144">
        <f>CO2データ!K137</f>
        <v>5.0900000000000001E-4</v>
      </c>
    </row>
    <row r="86" spans="3:6" hidden="1">
      <c r="C86" s="1789" t="s">
        <v>2028</v>
      </c>
      <c r="D86" s="144">
        <f>CO2データ!I138</f>
        <v>4.86E-4</v>
      </c>
      <c r="F86" s="144">
        <f>CO2データ!K138</f>
        <v>2.5599999999999999E-4</v>
      </c>
    </row>
    <row r="87" spans="3:6" hidden="1">
      <c r="C87" s="1789" t="s">
        <v>2468</v>
      </c>
      <c r="D87" s="144">
        <f>CO2データ!I105</f>
        <v>6.8800000000000003E-4</v>
      </c>
      <c r="F87" s="144">
        <f>CO2データ!K105</f>
        <v>6.8000000000000005E-4</v>
      </c>
    </row>
    <row r="88" spans="3:6" hidden="1">
      <c r="C88" s="1789" t="s">
        <v>2469</v>
      </c>
      <c r="D88" s="144">
        <f>CO2データ!I109</f>
        <v>6.6299999999999996E-4</v>
      </c>
      <c r="F88" s="144">
        <f>CO2データ!K109</f>
        <v>4.9399999999999997E-4</v>
      </c>
    </row>
  </sheetData>
  <sheetProtection password="9DA9" sheet="1" objects="1" scenarios="1"/>
  <mergeCells count="1">
    <mergeCell ref="C13:E14"/>
  </mergeCells>
  <phoneticPr fontId="21"/>
  <conditionalFormatting sqref="C16">
    <cfRule type="expression" dxfId="125" priority="1" stopIfTrue="1">
      <formula>$O$3=2</formula>
    </cfRule>
  </conditionalFormatting>
  <conditionalFormatting sqref="C10:D10">
    <cfRule type="expression" dxfId="124" priority="2" stopIfTrue="1">
      <formula>$O$3=1</formula>
    </cfRule>
  </conditionalFormatting>
  <conditionalFormatting sqref="C20:D20">
    <cfRule type="expression" dxfId="123" priority="3" stopIfTrue="1">
      <formula>$O$3=3</formula>
    </cfRule>
  </conditionalFormatting>
  <conditionalFormatting sqref="C28:D43">
    <cfRule type="expression" dxfId="122" priority="4" stopIfTrue="1">
      <formula>$O$3=5</formula>
    </cfRule>
  </conditionalFormatting>
  <dataValidations count="1">
    <dataValidation type="list" allowBlank="1" showInputMessage="1" showErrorMessage="1" sqref="C16">
      <formula1>$I$6:$I$44</formula1>
    </dataValidation>
  </dataValidations>
  <pageMargins left="0.75" right="0.75" top="1" bottom="1" header="0.51200000000000001" footer="0.51200000000000001"/>
  <pageSetup paperSize="9" scale="64"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A467"/>
  <sheetViews>
    <sheetView showGridLines="0" zoomScaleNormal="100" zoomScaleSheetLayoutView="100" workbookViewId="0"/>
  </sheetViews>
  <sheetFormatPr defaultColWidth="0" defaultRowHeight="13.5" zeroHeight="1"/>
  <cols>
    <col min="1" max="1" width="1.375" customWidth="1"/>
    <col min="2" max="2" width="8.875" hidden="1" customWidth="1"/>
    <col min="3" max="3" width="6" hidden="1" customWidth="1"/>
    <col min="4" max="4" width="5" style="2559" customWidth="1"/>
    <col min="5" max="5" width="1.375" style="144" customWidth="1"/>
    <col min="6" max="15" width="12.5" style="144" customWidth="1"/>
    <col min="16" max="16" width="2.5" customWidth="1"/>
    <col min="17" max="17" width="9.75" hidden="1" customWidth="1"/>
    <col min="18" max="18" width="20.75" hidden="1" customWidth="1"/>
    <col min="19" max="19" width="6.375" hidden="1" customWidth="1"/>
    <col min="20" max="20" width="9.125" hidden="1" customWidth="1"/>
    <col min="21" max="21" width="13.625" hidden="1" customWidth="1"/>
    <col min="22" max="22" width="9.75" hidden="1" customWidth="1"/>
    <col min="23" max="23" width="13.75" hidden="1" customWidth="1"/>
    <col min="24" max="26" width="9" hidden="1" customWidth="1"/>
    <col min="27" max="27" width="10.125" hidden="1" customWidth="1"/>
  </cols>
  <sheetData>
    <row r="1" spans="2:21" ht="15.75">
      <c r="D1" s="1020"/>
      <c r="E1" s="1021"/>
      <c r="F1" s="1021"/>
      <c r="G1" s="1021"/>
      <c r="H1" s="1021"/>
      <c r="I1" s="1021"/>
      <c r="J1" s="1021"/>
      <c r="K1" s="1021"/>
      <c r="L1" s="1021"/>
      <c r="M1" s="1022" t="s">
        <v>2952</v>
      </c>
      <c r="N1" s="1023" t="str">
        <f>メイン!C11</f>
        <v>○○ビル</v>
      </c>
      <c r="O1" s="1024"/>
      <c r="R1" t="s">
        <v>1450</v>
      </c>
    </row>
    <row r="2" spans="2:21" ht="8.25" customHeight="1" thickBot="1">
      <c r="D2" s="1025"/>
      <c r="E2" s="1026"/>
      <c r="F2" s="1026"/>
      <c r="G2" s="1026"/>
      <c r="H2" s="1026"/>
      <c r="I2" s="1026"/>
      <c r="J2" s="1026"/>
      <c r="K2" s="1026"/>
      <c r="L2" s="1026"/>
      <c r="M2" s="1026"/>
      <c r="N2" s="1026"/>
      <c r="O2" s="1026"/>
    </row>
    <row r="3" spans="2:21" ht="18.75" thickBot="1">
      <c r="D3" s="1535" t="s">
        <v>2117</v>
      </c>
      <c r="E3" s="1027"/>
      <c r="F3" s="1026"/>
      <c r="G3" s="1026"/>
      <c r="H3" s="1026"/>
      <c r="I3" s="1028"/>
      <c r="J3" s="1029" t="s">
        <v>2827</v>
      </c>
      <c r="K3" s="1030"/>
      <c r="L3" s="1030"/>
      <c r="M3" s="1026"/>
      <c r="N3" s="1026"/>
      <c r="O3" s="1031" t="str">
        <f>IF(メイン!E39=0,"",メイン!E39)</f>
        <v>基本設計段階</v>
      </c>
      <c r="R3" t="s">
        <v>1480</v>
      </c>
      <c r="U3" t="str">
        <f>メイン!I39</f>
        <v>基本設計段階</v>
      </c>
    </row>
    <row r="4" spans="2:21" ht="10.5" customHeight="1">
      <c r="D4" s="1025"/>
      <c r="E4" s="1027"/>
      <c r="F4" s="1026"/>
      <c r="G4" s="1026"/>
      <c r="H4" s="1026"/>
      <c r="I4" s="1026"/>
      <c r="J4" s="1026"/>
      <c r="K4" s="1026"/>
      <c r="L4" s="1026"/>
      <c r="M4" s="1026"/>
      <c r="N4" s="1026"/>
      <c r="O4" s="1026"/>
      <c r="S4" t="s">
        <v>2118</v>
      </c>
      <c r="T4" t="s">
        <v>2119</v>
      </c>
      <c r="U4" t="str">
        <f>メイン!I40</f>
        <v>実施設計段階</v>
      </c>
    </row>
    <row r="5" spans="2:21" ht="15.75">
      <c r="D5" s="1465">
        <v>1</v>
      </c>
      <c r="E5" s="1032" t="s">
        <v>1481</v>
      </c>
      <c r="F5" s="1032"/>
      <c r="G5" s="1032"/>
      <c r="H5" s="1033"/>
      <c r="I5" s="1033"/>
      <c r="J5" s="1033"/>
      <c r="K5" s="1033"/>
      <c r="L5" s="1033"/>
      <c r="M5" s="1033"/>
      <c r="N5" s="1033"/>
      <c r="O5" s="1033"/>
      <c r="U5" t="str">
        <f>メイン!I41</f>
        <v>竣工段階</v>
      </c>
    </row>
    <row r="6" spans="2:21" ht="15.75">
      <c r="D6" s="1465">
        <v>1.1000000000000001</v>
      </c>
      <c r="E6" s="1034" t="s">
        <v>1482</v>
      </c>
      <c r="F6" s="1032"/>
      <c r="G6" s="1032"/>
      <c r="H6" s="1033"/>
      <c r="I6" s="1033"/>
      <c r="J6" s="1033"/>
      <c r="K6" s="1033"/>
      <c r="L6" s="1033"/>
      <c r="M6" s="1033"/>
      <c r="N6" s="1033"/>
      <c r="O6" s="1041" t="s">
        <v>2121</v>
      </c>
      <c r="U6">
        <f>メイン!Q42</f>
        <v>0</v>
      </c>
    </row>
    <row r="7" spans="2:21" ht="15.75" hidden="1">
      <c r="D7" s="1025"/>
      <c r="E7" s="1033"/>
      <c r="F7" s="1036" t="s">
        <v>2120</v>
      </c>
      <c r="G7" s="1037"/>
      <c r="H7" s="1033"/>
      <c r="I7" s="1033"/>
      <c r="J7" s="1119" t="str">
        <f>IF(OR(F9=0,AND(J8=0,O8=0)),$R$3,"")</f>
        <v/>
      </c>
      <c r="K7" s="1039"/>
      <c r="L7" s="1037"/>
      <c r="M7" s="1040"/>
      <c r="N7" s="1040"/>
      <c r="O7" s="1041" t="s">
        <v>2121</v>
      </c>
    </row>
    <row r="8" spans="2:21" ht="14.25" thickBot="1">
      <c r="E8" s="1030"/>
      <c r="F8" s="1042" t="s">
        <v>2122</v>
      </c>
      <c r="G8" s="1043"/>
      <c r="H8" s="1044"/>
      <c r="I8" s="1045" t="s">
        <v>1484</v>
      </c>
      <c r="J8" s="1046">
        <f>重み!M12</f>
        <v>0.5</v>
      </c>
      <c r="K8" s="1047"/>
      <c r="L8" s="1042" t="s">
        <v>2123</v>
      </c>
      <c r="M8" s="1043"/>
      <c r="N8" s="1045" t="s">
        <v>1484</v>
      </c>
      <c r="O8" s="1048">
        <f>重み!N12</f>
        <v>0</v>
      </c>
    </row>
    <row r="9" spans="2:21" ht="23.25" thickBot="1">
      <c r="E9" s="1030"/>
      <c r="F9" s="1049">
        <v>3</v>
      </c>
      <c r="G9" s="1050" t="s">
        <v>1485</v>
      </c>
      <c r="H9" s="1051" t="s">
        <v>1486</v>
      </c>
      <c r="I9" s="1052" t="s">
        <v>2124</v>
      </c>
      <c r="J9" s="1051" t="s">
        <v>1853</v>
      </c>
      <c r="K9" s="1050" t="s">
        <v>1487</v>
      </c>
      <c r="L9" s="1049">
        <v>3</v>
      </c>
      <c r="M9" s="1053" t="s">
        <v>1488</v>
      </c>
      <c r="N9" s="1054"/>
      <c r="O9" s="1055"/>
    </row>
    <row r="10" spans="2:21" ht="27" customHeight="1">
      <c r="B10" s="1">
        <v>1</v>
      </c>
      <c r="C10" s="1">
        <v>1</v>
      </c>
      <c r="E10" s="1030"/>
      <c r="F10" s="1056" t="str">
        <f>IF(F9=$S$15,$T$10,IF(ROUNDDOWN(F9,0)=$S$10,$U$10,$T$10))</f>
        <v>　レベル　1</v>
      </c>
      <c r="G10" s="1057" t="s">
        <v>1489</v>
      </c>
      <c r="H10" s="1057" t="s">
        <v>1490</v>
      </c>
      <c r="I10" s="1057" t="s">
        <v>1491</v>
      </c>
      <c r="J10" s="1057" t="s">
        <v>1492</v>
      </c>
      <c r="K10" s="1057" t="s">
        <v>2360</v>
      </c>
      <c r="L10" s="1056" t="str">
        <f>IF(L9=$S$15,$T$10,IF(ROUNDDOWN(L9,0)=$S$10,$U$10,$T$10))</f>
        <v>　レベル　1</v>
      </c>
      <c r="M10" s="1058" t="s">
        <v>2361</v>
      </c>
      <c r="N10" s="1059"/>
      <c r="O10" s="1060"/>
      <c r="S10">
        <v>1</v>
      </c>
      <c r="T10" t="s">
        <v>2362</v>
      </c>
      <c r="U10" t="s">
        <v>2363</v>
      </c>
    </row>
    <row r="11" spans="2:21" ht="22.5">
      <c r="B11" s="1">
        <v>2</v>
      </c>
      <c r="C11" s="1" t="s">
        <v>2364</v>
      </c>
      <c r="E11" s="1030"/>
      <c r="F11" s="1061" t="str">
        <f>IF(F9=$S$15,$T$11,IF(ROUNDDOWN(F9,0)=$S$11,$U$11,$T$11))</f>
        <v>　レベル　2</v>
      </c>
      <c r="G11" s="1062" t="s">
        <v>2365</v>
      </c>
      <c r="H11" s="1062" t="s">
        <v>2365</v>
      </c>
      <c r="I11" s="1063" t="s">
        <v>2365</v>
      </c>
      <c r="J11" s="1063" t="s">
        <v>2365</v>
      </c>
      <c r="K11" s="1064" t="s">
        <v>2366</v>
      </c>
      <c r="L11" s="1061" t="str">
        <f>IF(L9=$S$15,$T$11,IF(ROUNDDOWN(L9,0)=$S$11,$U$11,$T$11))</f>
        <v>　レベル　2</v>
      </c>
      <c r="M11" s="1065" t="s">
        <v>2365</v>
      </c>
      <c r="N11" s="1066"/>
      <c r="O11" s="1067"/>
      <c r="S11">
        <v>2</v>
      </c>
      <c r="T11" t="s">
        <v>1451</v>
      </c>
      <c r="U11" t="s">
        <v>1452</v>
      </c>
    </row>
    <row r="12" spans="2:21" ht="22.5">
      <c r="B12" s="1">
        <v>3</v>
      </c>
      <c r="C12" s="1">
        <v>3</v>
      </c>
      <c r="E12" s="1030"/>
      <c r="F12" s="1061" t="str">
        <f>IF(F9=$S$15,$T$12,IF(ROUNDDOWN(F9,0)=$S$12,$U$12,$T$12))</f>
        <v>■レベル　3</v>
      </c>
      <c r="G12" s="1064" t="s">
        <v>1453</v>
      </c>
      <c r="H12" s="1064" t="s">
        <v>1454</v>
      </c>
      <c r="I12" s="1064" t="s">
        <v>1455</v>
      </c>
      <c r="J12" s="1068" t="s">
        <v>1456</v>
      </c>
      <c r="K12" s="1064" t="s">
        <v>1453</v>
      </c>
      <c r="L12" s="1061" t="str">
        <f>IF(L9=$S$15,$T$12,IF(ROUNDDOWN(L9,0)=$S$12,$U$12,$T$12))</f>
        <v>■レベル　3</v>
      </c>
      <c r="M12" s="1065" t="s">
        <v>1454</v>
      </c>
      <c r="N12" s="1066"/>
      <c r="O12" s="1067"/>
      <c r="S12">
        <v>3</v>
      </c>
      <c r="T12" t="s">
        <v>1457</v>
      </c>
      <c r="U12" t="s">
        <v>1458</v>
      </c>
    </row>
    <row r="13" spans="2:21" ht="22.5">
      <c r="B13" s="1">
        <v>4</v>
      </c>
      <c r="C13" s="1">
        <v>4</v>
      </c>
      <c r="E13" s="1030"/>
      <c r="F13" s="1061" t="str">
        <f>IF(F9=$S$15,$T$13,IF(ROUNDDOWN(F9,0)=$S$13,$U$13,$T$13))</f>
        <v>　レベル　4</v>
      </c>
      <c r="G13" s="1069" t="s">
        <v>1454</v>
      </c>
      <c r="H13" s="1070" t="s">
        <v>1456</v>
      </c>
      <c r="I13" s="1071" t="s">
        <v>1453</v>
      </c>
      <c r="J13" s="1071" t="s">
        <v>1459</v>
      </c>
      <c r="K13" s="1069" t="s">
        <v>1460</v>
      </c>
      <c r="L13" s="1061" t="str">
        <f>IF(L9=$S$15,$T$13,IF(ROUNDDOWN(L9,0)=$S$13,$U$13,$T$13))</f>
        <v>　レベル　4</v>
      </c>
      <c r="M13" s="1065" t="s">
        <v>1334</v>
      </c>
      <c r="N13" s="1066"/>
      <c r="O13" s="1067"/>
      <c r="S13">
        <v>4</v>
      </c>
      <c r="T13" t="s">
        <v>1335</v>
      </c>
      <c r="U13" t="s">
        <v>1336</v>
      </c>
    </row>
    <row r="14" spans="2:21" ht="25.5" customHeight="1">
      <c r="B14" s="1">
        <v>5</v>
      </c>
      <c r="C14" s="1">
        <v>5</v>
      </c>
      <c r="E14" s="1030"/>
      <c r="F14" s="1072" t="str">
        <f>IF(F9=$S$15,$T$14,IF(ROUNDDOWN(F9,0)=$S$14,$U$14,$T$14))</f>
        <v>　レベル　5</v>
      </c>
      <c r="G14" s="1073" t="s">
        <v>1337</v>
      </c>
      <c r="H14" s="1074" t="s">
        <v>1338</v>
      </c>
      <c r="I14" s="1075" t="s">
        <v>1339</v>
      </c>
      <c r="J14" s="1075" t="s">
        <v>1340</v>
      </c>
      <c r="K14" s="1073" t="s">
        <v>1341</v>
      </c>
      <c r="L14" s="1072" t="str">
        <f>IF(L9=$S$15,$T$14,IF(ROUNDDOWN(L9,0)=$S$14,$U$14,$T$14))</f>
        <v>　レベル　5</v>
      </c>
      <c r="M14" s="1076" t="s">
        <v>1341</v>
      </c>
      <c r="N14" s="1077"/>
      <c r="O14" s="1078"/>
      <c r="S14">
        <v>5</v>
      </c>
      <c r="T14" t="s">
        <v>1342</v>
      </c>
      <c r="U14" t="s">
        <v>1343</v>
      </c>
    </row>
    <row r="15" spans="2:21">
      <c r="B15" s="1079">
        <v>0</v>
      </c>
      <c r="C15" s="1079">
        <v>0</v>
      </c>
      <c r="E15" s="1030"/>
      <c r="F15" s="1080" t="s">
        <v>1344</v>
      </c>
      <c r="G15" s="1081"/>
      <c r="H15" s="1081"/>
      <c r="I15" s="1081"/>
      <c r="J15" s="1081"/>
      <c r="K15" s="1081"/>
      <c r="L15" s="1081"/>
      <c r="M15" s="1081"/>
      <c r="N15" s="1081"/>
      <c r="O15" s="1081"/>
      <c r="S15">
        <v>0</v>
      </c>
      <c r="T15" t="s">
        <v>1854</v>
      </c>
      <c r="U15" t="s">
        <v>1854</v>
      </c>
    </row>
    <row r="16" spans="2:21">
      <c r="E16" s="1030"/>
      <c r="F16" s="1082" t="str">
        <f>J7</f>
        <v/>
      </c>
      <c r="G16" s="1083" t="s">
        <v>1855</v>
      </c>
      <c r="H16" s="1083" t="s">
        <v>1856</v>
      </c>
      <c r="I16" s="1083" t="s">
        <v>1857</v>
      </c>
      <c r="J16" s="1083" t="s">
        <v>1858</v>
      </c>
      <c r="K16" s="1083" t="s">
        <v>1859</v>
      </c>
      <c r="L16" s="1083" t="s">
        <v>1860</v>
      </c>
      <c r="M16" s="1083" t="s">
        <v>1861</v>
      </c>
      <c r="N16" s="1083" t="s">
        <v>1862</v>
      </c>
      <c r="O16" s="1083" t="s">
        <v>1863</v>
      </c>
    </row>
    <row r="17" spans="5:15">
      <c r="E17" s="1030"/>
      <c r="F17" s="1082" t="s">
        <v>1864</v>
      </c>
      <c r="G17" s="1084" t="s">
        <v>1865</v>
      </c>
      <c r="H17" s="1084" t="s">
        <v>1866</v>
      </c>
      <c r="I17" s="1084" t="s">
        <v>1867</v>
      </c>
      <c r="J17" s="1084" t="s">
        <v>1196</v>
      </c>
      <c r="K17" s="1084" t="s">
        <v>1197</v>
      </c>
      <c r="L17" s="1084" t="s">
        <v>1198</v>
      </c>
      <c r="M17" s="1084" t="s">
        <v>1199</v>
      </c>
      <c r="N17" s="1084" t="s">
        <v>1200</v>
      </c>
      <c r="O17" s="1084" t="s">
        <v>1201</v>
      </c>
    </row>
    <row r="18" spans="5:15">
      <c r="E18" s="1030"/>
      <c r="F18" s="1085" t="s">
        <v>1202</v>
      </c>
      <c r="G18" s="1086" t="s">
        <v>1345</v>
      </c>
      <c r="H18" s="1087" t="s">
        <v>1346</v>
      </c>
      <c r="I18" s="1087"/>
      <c r="J18" s="1087"/>
      <c r="K18" s="1087" t="s">
        <v>1347</v>
      </c>
      <c r="L18" s="1087"/>
      <c r="M18" s="1088" t="s">
        <v>1348</v>
      </c>
      <c r="N18" s="1087" t="s">
        <v>1349</v>
      </c>
      <c r="O18" s="1089"/>
    </row>
    <row r="19" spans="5:15">
      <c r="E19" s="1030"/>
      <c r="F19" s="2890" t="s">
        <v>1350</v>
      </c>
      <c r="G19" s="1090"/>
      <c r="H19" s="1091"/>
      <c r="I19" s="1092" t="s">
        <v>1351</v>
      </c>
      <c r="J19" s="1092"/>
      <c r="K19" s="1093" t="s">
        <v>1352</v>
      </c>
      <c r="L19" s="1091"/>
      <c r="M19" s="1093" t="s">
        <v>1353</v>
      </c>
      <c r="N19" s="1091"/>
      <c r="O19" s="1094" t="s">
        <v>1354</v>
      </c>
    </row>
    <row r="20" spans="5:15">
      <c r="E20" s="1030"/>
      <c r="F20" s="2891"/>
      <c r="G20" s="1095"/>
      <c r="H20" s="1096"/>
      <c r="I20" s="1097" t="s">
        <v>1203</v>
      </c>
      <c r="J20" s="1096"/>
      <c r="K20" s="1098" t="s">
        <v>1204</v>
      </c>
      <c r="L20" s="1099" t="s">
        <v>1205</v>
      </c>
      <c r="M20" s="1098" t="s">
        <v>1206</v>
      </c>
      <c r="N20" s="1099" t="s">
        <v>1205</v>
      </c>
      <c r="O20" s="1100" t="s">
        <v>1207</v>
      </c>
    </row>
    <row r="21" spans="5:15">
      <c r="E21" s="1030"/>
      <c r="F21" s="1101" t="s">
        <v>1208</v>
      </c>
      <c r="G21" s="1091" t="s">
        <v>206</v>
      </c>
      <c r="H21" s="1091" t="s">
        <v>1209</v>
      </c>
      <c r="I21" s="1091" t="s">
        <v>1210</v>
      </c>
      <c r="J21" s="1091" t="s">
        <v>1211</v>
      </c>
      <c r="K21" s="1091" t="s">
        <v>207</v>
      </c>
      <c r="L21" s="1091" t="s">
        <v>208</v>
      </c>
      <c r="M21" s="1091"/>
      <c r="N21" s="1091"/>
      <c r="O21" s="1102"/>
    </row>
    <row r="22" spans="5:15">
      <c r="E22" s="1030"/>
      <c r="F22" s="1103" t="s">
        <v>209</v>
      </c>
      <c r="G22" s="1104"/>
      <c r="H22" s="1104" t="s">
        <v>210</v>
      </c>
      <c r="I22" s="1104" t="s">
        <v>211</v>
      </c>
      <c r="J22" s="1104" t="s">
        <v>212</v>
      </c>
      <c r="K22" s="1105" t="s">
        <v>213</v>
      </c>
      <c r="L22" s="1106"/>
      <c r="M22" s="1104" t="s">
        <v>1212</v>
      </c>
      <c r="N22" s="1104"/>
      <c r="O22" s="1107"/>
    </row>
    <row r="23" spans="5:15">
      <c r="E23" s="1030"/>
      <c r="F23" s="1103" t="s">
        <v>2130</v>
      </c>
      <c r="G23" s="1104"/>
      <c r="H23" s="1104" t="s">
        <v>214</v>
      </c>
      <c r="I23" s="1104" t="s">
        <v>215</v>
      </c>
      <c r="J23" s="1104" t="s">
        <v>1140</v>
      </c>
      <c r="K23" s="1104" t="s">
        <v>2006</v>
      </c>
      <c r="L23" s="1104" t="s">
        <v>2007</v>
      </c>
      <c r="M23" s="1104" t="s">
        <v>1315</v>
      </c>
      <c r="N23" s="1104"/>
      <c r="O23" s="1107"/>
    </row>
    <row r="24" spans="5:15">
      <c r="E24" s="1030"/>
      <c r="F24" s="1103" t="s">
        <v>1316</v>
      </c>
      <c r="G24" s="1104"/>
      <c r="H24" s="1104"/>
      <c r="I24" s="1104"/>
      <c r="J24" s="1104" t="s">
        <v>1317</v>
      </c>
      <c r="K24" s="1104" t="s">
        <v>1318</v>
      </c>
      <c r="L24" s="1104" t="s">
        <v>2351</v>
      </c>
      <c r="M24" s="1104" t="s">
        <v>1213</v>
      </c>
      <c r="N24" s="1104"/>
      <c r="O24" s="1107"/>
    </row>
    <row r="25" spans="5:15">
      <c r="E25" s="1030"/>
      <c r="F25" s="1103" t="s">
        <v>208</v>
      </c>
      <c r="G25" s="1104"/>
      <c r="H25" s="1104"/>
      <c r="I25" s="1104"/>
      <c r="J25" s="1105" t="s">
        <v>2352</v>
      </c>
      <c r="K25" s="1104" t="s">
        <v>2353</v>
      </c>
      <c r="L25" s="1104" t="s">
        <v>2386</v>
      </c>
      <c r="M25" s="1106" t="s">
        <v>208</v>
      </c>
      <c r="N25" s="1106"/>
      <c r="O25" s="1107" t="s">
        <v>2387</v>
      </c>
    </row>
    <row r="26" spans="5:15">
      <c r="E26" s="1030"/>
      <c r="F26" s="1103" t="s">
        <v>2388</v>
      </c>
      <c r="G26" s="1104"/>
      <c r="H26" s="1104"/>
      <c r="I26" s="1104"/>
      <c r="J26" s="1104" t="s">
        <v>2389</v>
      </c>
      <c r="K26" s="1104" t="s">
        <v>2390</v>
      </c>
      <c r="L26" s="1104" t="s">
        <v>2391</v>
      </c>
      <c r="M26" s="1104" t="s">
        <v>2392</v>
      </c>
      <c r="N26" s="1105" t="s">
        <v>2393</v>
      </c>
      <c r="O26" s="1108"/>
    </row>
    <row r="27" spans="5:15">
      <c r="E27" s="1030"/>
      <c r="F27" s="1103" t="s">
        <v>2394</v>
      </c>
      <c r="G27" s="1104"/>
      <c r="H27" s="1104"/>
      <c r="I27" s="1104"/>
      <c r="J27" s="1104" t="s">
        <v>2395</v>
      </c>
      <c r="K27" s="1104" t="s">
        <v>904</v>
      </c>
      <c r="L27" s="1104" t="s">
        <v>905</v>
      </c>
      <c r="M27" s="1104"/>
      <c r="N27" s="1104" t="s">
        <v>906</v>
      </c>
      <c r="O27" s="1107"/>
    </row>
    <row r="28" spans="5:15">
      <c r="E28" s="1030"/>
      <c r="F28" s="2892" t="s">
        <v>2382</v>
      </c>
      <c r="G28" s="1104"/>
      <c r="H28" s="1104"/>
      <c r="I28" s="1104"/>
      <c r="J28" s="1104"/>
      <c r="K28" s="1109" t="s">
        <v>2383</v>
      </c>
      <c r="L28" s="1104" t="s">
        <v>2384</v>
      </c>
      <c r="M28" s="1106" t="s">
        <v>2385</v>
      </c>
      <c r="N28" s="1106"/>
      <c r="O28" s="1107"/>
    </row>
    <row r="29" spans="5:15">
      <c r="E29" s="1030"/>
      <c r="F29" s="2893"/>
      <c r="G29" s="1110"/>
      <c r="H29" s="1110"/>
      <c r="I29" s="1110"/>
      <c r="J29" s="1110"/>
      <c r="K29" s="1111" t="s">
        <v>1214</v>
      </c>
      <c r="L29" s="1111"/>
      <c r="M29" s="1110" t="s">
        <v>1215</v>
      </c>
      <c r="N29" s="1110" t="s">
        <v>2704</v>
      </c>
      <c r="O29" s="1112"/>
    </row>
    <row r="30" spans="5:15">
      <c r="E30" s="1030"/>
      <c r="F30" s="1026"/>
      <c r="G30" s="1113"/>
      <c r="H30" s="1113"/>
      <c r="I30" s="1113"/>
      <c r="J30" s="1113"/>
      <c r="K30" s="1113"/>
      <c r="L30" s="1113"/>
      <c r="M30" s="1113"/>
      <c r="N30" s="1113"/>
      <c r="O30" s="1114" t="s">
        <v>2705</v>
      </c>
    </row>
    <row r="31" spans="5:15" ht="0.75" customHeight="1">
      <c r="E31" s="1030"/>
      <c r="F31" s="1026"/>
      <c r="G31" s="1115"/>
      <c r="H31" s="1115"/>
      <c r="I31" s="1115"/>
      <c r="J31" s="1115"/>
      <c r="K31" s="1115"/>
      <c r="L31" s="1115"/>
      <c r="M31" s="1115"/>
      <c r="N31" s="1115"/>
      <c r="O31" s="1115"/>
    </row>
    <row r="32" spans="5:15" ht="14.25" hidden="1">
      <c r="E32" s="1030"/>
      <c r="F32" s="2509" t="s">
        <v>2706</v>
      </c>
      <c r="G32" s="1116"/>
      <c r="H32" s="1117"/>
      <c r="I32" s="1118"/>
      <c r="J32" s="1119" t="str">
        <f>IF(OR(F34=0,AND(J33=0,O33=0)),$R$3,"")</f>
        <v>&lt;評価しない&gt;</v>
      </c>
      <c r="K32" s="1118"/>
      <c r="L32" s="1116"/>
      <c r="M32" s="1117"/>
      <c r="N32" s="1118"/>
      <c r="O32" s="1119"/>
    </row>
    <row r="33" spans="2:15" hidden="1">
      <c r="E33" s="1030"/>
      <c r="F33" s="1042" t="s">
        <v>1216</v>
      </c>
      <c r="G33" s="1043"/>
      <c r="H33" s="1044"/>
      <c r="I33" s="1045" t="s">
        <v>1484</v>
      </c>
      <c r="J33" s="1048">
        <f>重み!M13</f>
        <v>0.5</v>
      </c>
      <c r="K33" s="1042" t="s">
        <v>2123</v>
      </c>
      <c r="L33" s="1043"/>
      <c r="M33" s="1044"/>
      <c r="N33" s="1045" t="s">
        <v>1484</v>
      </c>
      <c r="O33" s="1048">
        <f>重み!N13</f>
        <v>0</v>
      </c>
    </row>
    <row r="34" spans="2:15" ht="14.25" hidden="1" thickBot="1">
      <c r="E34" s="1030"/>
      <c r="F34" s="1120">
        <f>IF(J33=0,0,F45)</f>
        <v>0</v>
      </c>
      <c r="G34" s="1054" t="s">
        <v>1217</v>
      </c>
      <c r="H34" s="1054"/>
      <c r="I34" s="2903" t="s">
        <v>1218</v>
      </c>
      <c r="J34" s="2904"/>
      <c r="K34" s="1120">
        <f>IF(O33=0,0,IF(O45+K57=0,0,ROUND(G45*O45/(O45+K57)+G57*K57/(O45+K57),0)))</f>
        <v>0</v>
      </c>
      <c r="L34" s="1121" t="s">
        <v>1219</v>
      </c>
      <c r="M34" s="1122" t="s">
        <v>1220</v>
      </c>
      <c r="N34" s="2894" t="s">
        <v>2708</v>
      </c>
      <c r="O34" s="2895"/>
    </row>
    <row r="35" spans="2:15" ht="56.25" hidden="1" customHeight="1">
      <c r="E35" s="1030"/>
      <c r="F35" s="1061" t="str">
        <f>IF(F34=$S$15,$T$10,IF(ROUNDDOWN(F34,0)=$S$10,$U$10,$T$10))</f>
        <v>　レベル　1</v>
      </c>
      <c r="G35" s="2896" t="s">
        <v>2709</v>
      </c>
      <c r="H35" s="2897"/>
      <c r="I35" s="2896" t="s">
        <v>2709</v>
      </c>
      <c r="J35" s="2897"/>
      <c r="K35" s="1061" t="str">
        <f>IF(K34=$S$15,$T$10,IF(ROUNDDOWN(K34,0)=$S$10,$U$10,$T$10))</f>
        <v>　レベル　1</v>
      </c>
      <c r="L35" s="1123" t="s">
        <v>2709</v>
      </c>
      <c r="M35" s="1123" t="s">
        <v>2709</v>
      </c>
      <c r="N35" s="2896" t="s">
        <v>2709</v>
      </c>
      <c r="O35" s="2902"/>
    </row>
    <row r="36" spans="2:15" ht="45" hidden="1" customHeight="1">
      <c r="E36" s="1030"/>
      <c r="F36" s="1061" t="str">
        <f>IF(F34=$S$15,$T$11,IF(ROUNDDOWN(F34,0)=$S$11,$U$11,$T$11))</f>
        <v>　レベル　2</v>
      </c>
      <c r="G36" s="2900" t="s">
        <v>1802</v>
      </c>
      <c r="H36" s="2906"/>
      <c r="I36" s="2900" t="s">
        <v>1221</v>
      </c>
      <c r="J36" s="2906"/>
      <c r="K36" s="1061" t="str">
        <f>IF(K34=$S$15,$T$11,IF(ROUNDDOWN(K34,0)=$S$11,$U$11,$T$11))</f>
        <v>　レベル　2</v>
      </c>
      <c r="L36" s="1069" t="s">
        <v>1802</v>
      </c>
      <c r="M36" s="1069" t="s">
        <v>1221</v>
      </c>
      <c r="N36" s="2900"/>
      <c r="O36" s="2901"/>
    </row>
    <row r="37" spans="2:15" ht="45" hidden="1" customHeight="1">
      <c r="E37" s="1030"/>
      <c r="F37" s="1061" t="str">
        <f>IF(F34=$S$15,$T$12,IF(ROUNDDOWN(F34,0)=$S$12,$U$12,$T$12))</f>
        <v>　レベル　3</v>
      </c>
      <c r="G37" s="2900" t="s">
        <v>1803</v>
      </c>
      <c r="H37" s="2906"/>
      <c r="I37" s="2900" t="s">
        <v>217</v>
      </c>
      <c r="J37" s="2906"/>
      <c r="K37" s="1061" t="str">
        <f>IF(K34=$S$15,$T$12,IF(ROUNDDOWN(K34,0)=$S$12,$U$12,$T$12))</f>
        <v>　レベル　3</v>
      </c>
      <c r="L37" s="1069" t="s">
        <v>1803</v>
      </c>
      <c r="M37" s="1069" t="s">
        <v>217</v>
      </c>
      <c r="N37" s="2900" t="s">
        <v>1804</v>
      </c>
      <c r="O37" s="2901"/>
    </row>
    <row r="38" spans="2:15" ht="56.25" hidden="1" customHeight="1">
      <c r="E38" s="1030"/>
      <c r="F38" s="1061" t="str">
        <f>IF(F34=$S$15,$T$13,IF(ROUNDDOWN(F34,0)=$S$13,$U$13,$T$13))</f>
        <v>　レベル　4</v>
      </c>
      <c r="G38" s="2900" t="s">
        <v>1805</v>
      </c>
      <c r="H38" s="2906"/>
      <c r="I38" s="2900" t="s">
        <v>772</v>
      </c>
      <c r="J38" s="2906"/>
      <c r="K38" s="1061" t="str">
        <f>IF(K34=$S$15,$T$13,IF(ROUNDDOWN(K34,0)=$S$13,$U$13,$T$13))</f>
        <v>　レベル　4</v>
      </c>
      <c r="L38" s="1069" t="s">
        <v>1805</v>
      </c>
      <c r="M38" s="1069" t="s">
        <v>772</v>
      </c>
      <c r="N38" s="2900"/>
      <c r="O38" s="2901"/>
    </row>
    <row r="39" spans="2:15" ht="45" hidden="1" customHeight="1">
      <c r="E39" s="1021"/>
      <c r="F39" s="1072" t="str">
        <f>IF(F34=$S$15,$T$14,IF(ROUNDDOWN(F34,0)=$S$14,$U$14,$T$14))</f>
        <v>　レベル　5</v>
      </c>
      <c r="G39" s="2898" t="s">
        <v>1806</v>
      </c>
      <c r="H39" s="2905"/>
      <c r="I39" s="2898" t="s">
        <v>1806</v>
      </c>
      <c r="J39" s="2905"/>
      <c r="K39" s="1072" t="str">
        <f>IF(K34=$S$15,$T$14,IF(ROUNDDOWN(K34,0)=$S$14,$U$14,$T$14))</f>
        <v>　レベル　5</v>
      </c>
      <c r="L39" s="1073" t="s">
        <v>1806</v>
      </c>
      <c r="M39" s="1073" t="s">
        <v>1806</v>
      </c>
      <c r="N39" s="2898" t="s">
        <v>1806</v>
      </c>
      <c r="O39" s="2899"/>
    </row>
    <row r="40" spans="2:15" hidden="1">
      <c r="E40" s="1124"/>
      <c r="F40" s="1125" t="s">
        <v>1807</v>
      </c>
      <c r="G40" s="1126"/>
      <c r="H40" s="1126"/>
      <c r="I40" s="1126"/>
      <c r="J40" s="1126"/>
      <c r="K40" s="1127"/>
      <c r="L40" s="1127"/>
      <c r="M40" s="1126"/>
      <c r="N40" s="1126"/>
      <c r="O40" s="1126"/>
    </row>
    <row r="41" spans="2:15" ht="14.25" hidden="1" thickBot="1">
      <c r="E41" s="1124"/>
      <c r="F41" s="1128"/>
      <c r="G41" s="1127" t="s">
        <v>1808</v>
      </c>
      <c r="H41" s="1127"/>
      <c r="I41" s="1129"/>
      <c r="J41" s="1127"/>
      <c r="K41" s="1127"/>
      <c r="L41" s="1127"/>
      <c r="M41" s="1127"/>
      <c r="N41" s="1127"/>
      <c r="O41" s="1127"/>
    </row>
    <row r="42" spans="2:15" ht="15.75" hidden="1">
      <c r="E42" s="1130"/>
      <c r="F42" s="1130"/>
      <c r="G42" s="1131"/>
      <c r="H42" s="1131"/>
      <c r="I42" s="1131"/>
      <c r="J42" s="1126"/>
      <c r="K42" s="1127"/>
      <c r="L42" s="1127"/>
      <c r="M42" s="1127"/>
      <c r="N42" s="1127"/>
      <c r="O42" s="1127"/>
    </row>
    <row r="43" spans="2:15" hidden="1">
      <c r="E43" s="1124"/>
      <c r="F43" s="1132" t="s">
        <v>773</v>
      </c>
      <c r="G43" s="1133" t="s">
        <v>774</v>
      </c>
      <c r="H43" s="1127"/>
      <c r="I43" s="1127"/>
      <c r="J43" s="1126"/>
      <c r="K43" s="1127"/>
      <c r="L43" s="1127"/>
      <c r="M43" s="1127"/>
      <c r="N43" s="1127"/>
      <c r="O43" s="1127"/>
    </row>
    <row r="44" spans="2:15" ht="14.25" hidden="1" customHeight="1" thickBot="1">
      <c r="E44" s="1124"/>
      <c r="F44" s="1049">
        <v>0</v>
      </c>
      <c r="G44" s="1049">
        <v>0</v>
      </c>
      <c r="H44" s="1134" t="s">
        <v>2921</v>
      </c>
      <c r="I44" s="1135" t="s">
        <v>3162</v>
      </c>
      <c r="J44" s="1127"/>
      <c r="K44" s="1126"/>
      <c r="L44" s="1127"/>
      <c r="M44" s="1127"/>
      <c r="N44" s="1127"/>
      <c r="O44" s="1127"/>
    </row>
    <row r="45" spans="2:15" hidden="1">
      <c r="B45" s="1">
        <v>1</v>
      </c>
      <c r="C45" s="1">
        <v>1</v>
      </c>
      <c r="E45" s="1124"/>
      <c r="F45" s="1136">
        <f>IF(I44=T4,F44,IF(AND(M45&lt;2000,F41=S4),IF($F$54&lt;1,1,IF($F$54&lt;2,2,IF($F$54&lt;3,3,IF($F$54&lt;4,4,5)))),IF($F$54&lt;2,1,IF($F$54&lt;4,2,IF($F$54&lt;6,3,IF($F$54&lt;8,4,5))))))</f>
        <v>0</v>
      </c>
      <c r="G45" s="1136">
        <f>IF(I44=T4,G44,IF(AND(M45&lt;2000,F41=S4),IF($G$54&lt;1,1,IF($G$54&lt;2,2,IF($G$54&lt;3,3,IF($G$54&lt;4,4,5)))),IF($G$54&lt;2,1,IF($G$54&lt;4,2,IF($G$54&lt;6,3,IF($G$54&lt;8,4,5))))))</f>
        <v>0</v>
      </c>
      <c r="H45" s="1137" t="s">
        <v>775</v>
      </c>
      <c r="I45" s="1044"/>
      <c r="J45" s="1138" t="s">
        <v>776</v>
      </c>
      <c r="K45" s="1139"/>
      <c r="L45" s="1140" t="s">
        <v>2922</v>
      </c>
      <c r="M45" s="1141">
        <f>メイン!C19</f>
        <v>3000</v>
      </c>
      <c r="N45" s="1142" t="s">
        <v>2833</v>
      </c>
      <c r="O45" s="1143">
        <f>メイン!L66-メイン!L64</f>
        <v>0</v>
      </c>
    </row>
    <row r="46" spans="2:15" ht="13.5" hidden="1" customHeight="1">
      <c r="B46" s="1">
        <v>2</v>
      </c>
      <c r="C46" s="1">
        <v>2</v>
      </c>
      <c r="E46" s="1030"/>
      <c r="F46" s="1144" t="s">
        <v>2923</v>
      </c>
      <c r="G46" s="1144" t="s">
        <v>2923</v>
      </c>
      <c r="H46" s="2911" t="s">
        <v>2924</v>
      </c>
      <c r="I46" s="2912"/>
      <c r="J46" s="2907" t="s">
        <v>2925</v>
      </c>
      <c r="K46" s="2908"/>
      <c r="L46" s="1145"/>
      <c r="M46" s="1145"/>
      <c r="N46" s="1145"/>
      <c r="O46" s="1145"/>
    </row>
    <row r="47" spans="2:15" ht="13.5" hidden="1" customHeight="1">
      <c r="B47" s="1">
        <v>3</v>
      </c>
      <c r="C47" s="1">
        <v>3</v>
      </c>
      <c r="E47" s="1030"/>
      <c r="F47" s="1146" t="s">
        <v>2926</v>
      </c>
      <c r="G47" s="1146" t="s">
        <v>2926</v>
      </c>
      <c r="H47" s="1147" t="s">
        <v>1789</v>
      </c>
      <c r="I47" s="1148"/>
      <c r="J47" s="1149" t="s">
        <v>1790</v>
      </c>
      <c r="K47" s="1148"/>
      <c r="L47" s="1145"/>
      <c r="M47" s="1145"/>
      <c r="N47" s="1145"/>
      <c r="O47" s="1145"/>
    </row>
    <row r="48" spans="2:15" ht="13.5" hidden="1" customHeight="1">
      <c r="B48" s="1">
        <v>4</v>
      </c>
      <c r="C48" s="1">
        <v>4</v>
      </c>
      <c r="E48" s="1030"/>
      <c r="F48" s="1146" t="s">
        <v>2923</v>
      </c>
      <c r="G48" s="1146" t="s">
        <v>2926</v>
      </c>
      <c r="H48" s="1147" t="s">
        <v>1160</v>
      </c>
      <c r="I48" s="1148"/>
      <c r="J48" s="1149" t="s">
        <v>777</v>
      </c>
      <c r="K48" s="1148"/>
      <c r="L48" s="1044" t="s">
        <v>1161</v>
      </c>
      <c r="M48" s="1044"/>
      <c r="N48" s="1044"/>
      <c r="O48" s="1150"/>
    </row>
    <row r="49" spans="2:15" ht="13.5" hidden="1" customHeight="1">
      <c r="B49" s="1">
        <v>5</v>
      </c>
      <c r="C49" s="1">
        <v>5</v>
      </c>
      <c r="E49" s="1030"/>
      <c r="F49" s="1146" t="s">
        <v>2926</v>
      </c>
      <c r="G49" s="1146" t="s">
        <v>2923</v>
      </c>
      <c r="H49" s="1147" t="s">
        <v>1162</v>
      </c>
      <c r="I49" s="1148"/>
      <c r="J49" s="1149" t="s">
        <v>1163</v>
      </c>
      <c r="K49" s="1148"/>
      <c r="L49" s="1137" t="s">
        <v>778</v>
      </c>
      <c r="M49" s="1151"/>
      <c r="N49" s="1152" t="s">
        <v>779</v>
      </c>
      <c r="O49" s="1139"/>
    </row>
    <row r="50" spans="2:15" ht="13.5" hidden="1" customHeight="1">
      <c r="B50" s="1079">
        <v>0</v>
      </c>
      <c r="C50" s="1079">
        <v>0</v>
      </c>
      <c r="E50" s="1030"/>
      <c r="F50" s="1146" t="s">
        <v>2926</v>
      </c>
      <c r="G50" s="1146" t="s">
        <v>2923</v>
      </c>
      <c r="H50" s="1147" t="s">
        <v>1164</v>
      </c>
      <c r="I50" s="1148"/>
      <c r="J50" s="2907" t="s">
        <v>1165</v>
      </c>
      <c r="K50" s="2912"/>
      <c r="L50" s="2909" t="s">
        <v>2694</v>
      </c>
      <c r="M50" s="2912"/>
      <c r="N50" s="2907" t="s">
        <v>2710</v>
      </c>
      <c r="O50" s="2908"/>
    </row>
    <row r="51" spans="2:15" ht="13.5" hidden="1" customHeight="1">
      <c r="E51" s="1030"/>
      <c r="F51" s="1146" t="s">
        <v>2926</v>
      </c>
      <c r="G51" s="1146" t="s">
        <v>2923</v>
      </c>
      <c r="H51" s="1147" t="s">
        <v>1162</v>
      </c>
      <c r="I51" s="1148"/>
      <c r="J51" s="2907" t="s">
        <v>2711</v>
      </c>
      <c r="K51" s="2910"/>
      <c r="L51" s="2909" t="s">
        <v>2712</v>
      </c>
      <c r="M51" s="2908"/>
      <c r="N51" s="2907" t="s">
        <v>2713</v>
      </c>
      <c r="O51" s="2908"/>
    </row>
    <row r="52" spans="2:15" ht="13.5" hidden="1" customHeight="1">
      <c r="E52" s="1030"/>
      <c r="F52" s="1146" t="s">
        <v>2923</v>
      </c>
      <c r="G52" s="1146" t="s">
        <v>2926</v>
      </c>
      <c r="H52" s="1147" t="s">
        <v>780</v>
      </c>
      <c r="I52" s="1148"/>
      <c r="J52" s="1149" t="s">
        <v>2714</v>
      </c>
      <c r="K52" s="1148"/>
      <c r="L52" s="2909" t="s">
        <v>2715</v>
      </c>
      <c r="M52" s="2908"/>
      <c r="N52" s="2907" t="s">
        <v>2716</v>
      </c>
      <c r="O52" s="2908"/>
    </row>
    <row r="53" spans="2:15" ht="14.25" hidden="1" customHeight="1" thickBot="1">
      <c r="E53" s="1030"/>
      <c r="F53" s="1153" t="s">
        <v>2926</v>
      </c>
      <c r="G53" s="1153" t="s">
        <v>2926</v>
      </c>
      <c r="H53" s="1147" t="s">
        <v>1280</v>
      </c>
      <c r="I53" s="1148"/>
      <c r="J53" s="1149" t="s">
        <v>2717</v>
      </c>
      <c r="K53" s="1148"/>
      <c r="L53" s="2909" t="s">
        <v>2345</v>
      </c>
      <c r="M53" s="2908"/>
      <c r="N53" s="2907" t="s">
        <v>2346</v>
      </c>
      <c r="O53" s="2908"/>
    </row>
    <row r="54" spans="2:15" ht="13.5" hidden="1" customHeight="1">
      <c r="E54" s="1030"/>
      <c r="F54" s="1154">
        <f>IF(F41=S4,COUNTIF(F50:F53,S4),COUNTIF(F46:F53,S4))</f>
        <v>5</v>
      </c>
      <c r="G54" s="1155">
        <f>IF(F41=S4,COUNTIF(G50:G53,S4),COUNTIF(G46:G53,S4))</f>
        <v>4</v>
      </c>
      <c r="H54" s="1145" t="s">
        <v>2347</v>
      </c>
      <c r="I54" s="1156"/>
      <c r="J54" s="1156"/>
      <c r="K54" s="1156"/>
      <c r="L54" s="1127"/>
      <c r="M54" s="1127"/>
      <c r="N54" s="1127"/>
      <c r="O54" s="1127"/>
    </row>
    <row r="55" spans="2:15" hidden="1">
      <c r="E55" s="1030"/>
      <c r="F55" s="1021"/>
      <c r="G55" s="1157" t="s">
        <v>2348</v>
      </c>
      <c r="H55" s="1145"/>
      <c r="I55" s="1156"/>
      <c r="J55" s="1156"/>
      <c r="K55" s="1127"/>
      <c r="L55" s="1127"/>
      <c r="M55" s="1127"/>
      <c r="N55" s="1127"/>
      <c r="O55" s="1127"/>
    </row>
    <row r="56" spans="2:15" ht="16.5" hidden="1" thickBot="1">
      <c r="E56" s="1025"/>
      <c r="F56" s="1021"/>
      <c r="G56" s="1049">
        <v>0</v>
      </c>
      <c r="H56" s="1134" t="s">
        <v>2921</v>
      </c>
      <c r="I56" s="1135" t="s">
        <v>3162</v>
      </c>
      <c r="J56" s="1127"/>
      <c r="K56" s="1127"/>
      <c r="L56" s="1145"/>
      <c r="M56" s="1145"/>
      <c r="N56" s="1145"/>
      <c r="O56" s="1145"/>
    </row>
    <row r="57" spans="2:15" ht="15.75" hidden="1">
      <c r="B57" s="1">
        <v>1</v>
      </c>
      <c r="C57" s="1">
        <v>1</v>
      </c>
      <c r="E57" s="1025"/>
      <c r="F57" s="1158"/>
      <c r="G57" s="2915">
        <f>IF(I56=T4,G56,IF($G$64&lt;2,1,IF($G$64&lt;2,2,IF($G$64&lt;4,3,IF($G$64&lt;5,4,5)))))</f>
        <v>0</v>
      </c>
      <c r="H57" s="1159" t="s">
        <v>2349</v>
      </c>
      <c r="I57" s="1159"/>
      <c r="J57" s="1159" t="s">
        <v>2833</v>
      </c>
      <c r="K57" s="1143">
        <f>メイン!L64</f>
        <v>0</v>
      </c>
      <c r="L57" s="1127"/>
      <c r="M57" s="1127"/>
      <c r="N57" s="1127"/>
      <c r="O57" s="1127"/>
    </row>
    <row r="58" spans="2:15" ht="15.75" hidden="1">
      <c r="B58" s="1">
        <v>2</v>
      </c>
      <c r="C58" s="1">
        <v>2</v>
      </c>
      <c r="E58" s="1025"/>
      <c r="F58" s="1158"/>
      <c r="G58" s="2915"/>
      <c r="H58" s="1137" t="s">
        <v>775</v>
      </c>
      <c r="I58" s="1054"/>
      <c r="J58" s="1152" t="s">
        <v>776</v>
      </c>
      <c r="K58" s="1139"/>
      <c r="L58" s="1127"/>
      <c r="M58" s="1127"/>
      <c r="N58" s="1127"/>
      <c r="O58" s="1127"/>
    </row>
    <row r="59" spans="2:15" ht="15.75" hidden="1" customHeight="1">
      <c r="B59" s="1">
        <v>3</v>
      </c>
      <c r="C59" s="1">
        <v>3</v>
      </c>
      <c r="E59" s="1025"/>
      <c r="F59" s="1021"/>
      <c r="G59" s="1144" t="s">
        <v>2926</v>
      </c>
      <c r="H59" s="2911" t="s">
        <v>2350</v>
      </c>
      <c r="I59" s="2908"/>
      <c r="J59" s="2907" t="s">
        <v>3080</v>
      </c>
      <c r="K59" s="2908"/>
      <c r="L59" s="1145"/>
      <c r="M59" s="1145"/>
      <c r="N59" s="1145"/>
      <c r="O59" s="1145"/>
    </row>
    <row r="60" spans="2:15" ht="15.75" hidden="1" customHeight="1">
      <c r="B60" s="1">
        <v>4</v>
      </c>
      <c r="C60" s="1">
        <v>4</v>
      </c>
      <c r="E60" s="1025"/>
      <c r="F60" s="1021"/>
      <c r="G60" s="1146" t="s">
        <v>2926</v>
      </c>
      <c r="H60" s="1147" t="s">
        <v>3081</v>
      </c>
      <c r="I60" s="1148"/>
      <c r="J60" s="2907" t="s">
        <v>3082</v>
      </c>
      <c r="K60" s="2908"/>
      <c r="L60" s="1145"/>
      <c r="M60" s="1145"/>
      <c r="N60" s="1145"/>
      <c r="O60" s="1145"/>
    </row>
    <row r="61" spans="2:15" ht="15.75" hidden="1" customHeight="1">
      <c r="B61" s="1">
        <v>5</v>
      </c>
      <c r="C61" s="1">
        <v>5</v>
      </c>
      <c r="E61" s="1025"/>
      <c r="F61" s="1021"/>
      <c r="G61" s="1146"/>
      <c r="H61" s="1147" t="s">
        <v>3083</v>
      </c>
      <c r="I61" s="1148"/>
      <c r="J61" s="2907" t="s">
        <v>3084</v>
      </c>
      <c r="K61" s="2908"/>
      <c r="L61" s="1145"/>
      <c r="M61" s="1145"/>
      <c r="N61" s="1145"/>
      <c r="O61" s="1145"/>
    </row>
    <row r="62" spans="2:15" ht="15.75" hidden="1" customHeight="1">
      <c r="B62" s="1079">
        <v>0</v>
      </c>
      <c r="C62" s="1079">
        <v>0</v>
      </c>
      <c r="E62" s="1025"/>
      <c r="F62" s="1021"/>
      <c r="G62" s="1146" t="s">
        <v>2923</v>
      </c>
      <c r="H62" s="1147" t="s">
        <v>3085</v>
      </c>
      <c r="I62" s="1148"/>
      <c r="J62" s="2907" t="s">
        <v>3086</v>
      </c>
      <c r="K62" s="2908"/>
      <c r="L62" s="1145"/>
      <c r="M62" s="1145"/>
      <c r="N62" s="1145"/>
      <c r="O62" s="1145"/>
    </row>
    <row r="63" spans="2:15" ht="16.5" hidden="1" customHeight="1" thickBot="1">
      <c r="E63" s="1025"/>
      <c r="F63" s="1021"/>
      <c r="G63" s="1153" t="s">
        <v>2926</v>
      </c>
      <c r="H63" s="1147" t="s">
        <v>3087</v>
      </c>
      <c r="I63" s="1148"/>
      <c r="J63" s="2907" t="s">
        <v>3084</v>
      </c>
      <c r="K63" s="2908"/>
      <c r="L63" s="1145"/>
      <c r="M63" s="1145"/>
      <c r="N63" s="1145"/>
      <c r="O63" s="1145"/>
    </row>
    <row r="64" spans="2:15" ht="15.75" hidden="1" customHeight="1">
      <c r="E64" s="1025"/>
      <c r="F64" s="1021"/>
      <c r="G64" s="1155">
        <f>COUNTIF(G59:G63,S4)</f>
        <v>3</v>
      </c>
      <c r="H64" s="1145" t="s">
        <v>2347</v>
      </c>
      <c r="I64" s="1160"/>
      <c r="J64" s="1145"/>
      <c r="K64" s="1145"/>
      <c r="L64" s="1145"/>
      <c r="M64" s="1145"/>
      <c r="N64" s="1145"/>
      <c r="O64" s="1145"/>
    </row>
    <row r="65" spans="2:15" ht="9" customHeight="1">
      <c r="E65" s="1025"/>
      <c r="F65" s="1161"/>
      <c r="G65" s="1145"/>
      <c r="H65" s="1145"/>
      <c r="I65" s="1145"/>
      <c r="J65" s="1145"/>
      <c r="K65" s="1145"/>
      <c r="L65" s="1145"/>
      <c r="M65" s="1145"/>
      <c r="N65" s="1145"/>
      <c r="O65" s="1145"/>
    </row>
    <row r="66" spans="2:15" ht="15.75">
      <c r="D66" s="1465">
        <v>1.2</v>
      </c>
      <c r="E66" s="1162" t="s">
        <v>3088</v>
      </c>
      <c r="F66" s="1032"/>
      <c r="G66" s="1163"/>
      <c r="H66" s="1164"/>
      <c r="I66" s="1164"/>
      <c r="J66" s="1164"/>
      <c r="K66" s="1163"/>
      <c r="L66" s="1164"/>
      <c r="M66" s="1164"/>
      <c r="N66" s="1164"/>
      <c r="O66" s="1164"/>
    </row>
    <row r="67" spans="2:15" ht="15.75">
      <c r="D67" s="1020"/>
      <c r="E67" s="1021"/>
      <c r="F67" s="1036" t="s">
        <v>3089</v>
      </c>
      <c r="G67" s="1116"/>
      <c r="H67" s="1165"/>
      <c r="I67" s="1145"/>
      <c r="J67" s="1119" t="str">
        <f>IF(OR(F69=0,AND(J68=0,O68=0)),$R$3,"")</f>
        <v/>
      </c>
      <c r="K67" s="1115"/>
      <c r="L67" s="1116"/>
      <c r="M67" s="1165"/>
      <c r="N67" s="1145"/>
      <c r="O67" s="1119"/>
    </row>
    <row r="68" spans="2:15" ht="16.5" thickBot="1">
      <c r="D68" s="1025"/>
      <c r="E68" s="1026"/>
      <c r="F68" s="1042" t="s">
        <v>1281</v>
      </c>
      <c r="G68" s="1043"/>
      <c r="H68" s="1044"/>
      <c r="I68" s="1045" t="s">
        <v>1484</v>
      </c>
      <c r="J68" s="1048">
        <f>重み!M15</f>
        <v>0.6</v>
      </c>
      <c r="K68" s="1042" t="s">
        <v>2123</v>
      </c>
      <c r="L68" s="1043"/>
      <c r="M68" s="1044"/>
      <c r="N68" s="1045" t="s">
        <v>1484</v>
      </c>
      <c r="O68" s="1048">
        <f>重み!N15</f>
        <v>0</v>
      </c>
    </row>
    <row r="69" spans="2:15" ht="16.5" thickBot="1">
      <c r="D69" s="1025"/>
      <c r="E69" s="1026"/>
      <c r="F69" s="1049">
        <v>3</v>
      </c>
      <c r="G69" s="1166" t="s">
        <v>3091</v>
      </c>
      <c r="H69" s="1054"/>
      <c r="I69" s="1054"/>
      <c r="J69" s="1055"/>
      <c r="K69" s="1049">
        <v>3</v>
      </c>
      <c r="L69" s="1166" t="s">
        <v>1282</v>
      </c>
      <c r="M69" s="1054"/>
      <c r="N69" s="1054"/>
      <c r="O69" s="1055"/>
    </row>
    <row r="70" spans="2:15" ht="15.75" hidden="1">
      <c r="B70" s="1">
        <v>1</v>
      </c>
      <c r="C70" s="1">
        <v>1</v>
      </c>
      <c r="D70" s="1025"/>
      <c r="E70" s="1026"/>
      <c r="F70" s="1167"/>
      <c r="G70" s="1166" t="s">
        <v>1380</v>
      </c>
      <c r="H70" s="1054"/>
      <c r="I70" s="1054"/>
      <c r="J70" s="1055"/>
      <c r="K70" s="1167"/>
      <c r="L70" s="1166" t="s">
        <v>1380</v>
      </c>
      <c r="M70" s="1054"/>
      <c r="N70" s="1054"/>
      <c r="O70" s="1055"/>
    </row>
    <row r="71" spans="2:15" ht="15.75" hidden="1">
      <c r="B71" s="1" t="s">
        <v>3163</v>
      </c>
      <c r="C71" s="1" t="s">
        <v>3163</v>
      </c>
      <c r="D71" s="1025"/>
      <c r="E71" s="1026"/>
      <c r="F71" s="1061" t="str">
        <f>IF(F69=$S$15,$T$10,IF(AND($O$3=$U$3,ROUNDDOWN(F69,0)=$S$10),$U$10,$T$10))</f>
        <v>　レベル　1</v>
      </c>
      <c r="G71" s="1058" t="s">
        <v>1283</v>
      </c>
      <c r="H71" s="1059"/>
      <c r="I71" s="1059"/>
      <c r="J71" s="1060"/>
      <c r="K71" s="1061" t="str">
        <f>IF(K69=$S$15,$T$10,IF(AND($O$3=$U$3,ROUNDDOWN(K69,0)=$S$10),$U$10,$T$10))</f>
        <v>　レベル　1</v>
      </c>
      <c r="L71" s="1058" t="s">
        <v>3092</v>
      </c>
      <c r="M71" s="1059"/>
      <c r="N71" s="1059"/>
      <c r="O71" s="1060"/>
    </row>
    <row r="72" spans="2:15" ht="15.75" hidden="1">
      <c r="B72" s="1">
        <v>3</v>
      </c>
      <c r="C72" s="1">
        <v>3</v>
      </c>
      <c r="D72" s="1025"/>
      <c r="E72" s="1026"/>
      <c r="F72" s="1061" t="str">
        <f>IF(F69=$S$15,$T$11,IF(AND($O$3=$U$3,ROUNDDOWN(F69,0)=$S$11),$U$11,$T$11))</f>
        <v>　レベル　2</v>
      </c>
      <c r="G72" s="1065"/>
      <c r="H72" s="1066"/>
      <c r="I72" s="1066"/>
      <c r="J72" s="1067"/>
      <c r="K72" s="1061" t="str">
        <f>IF(K69=$S$15,$T$11,IF(AND($O$3=$U$3,ROUNDDOWN(K69,0)=$S$11),$U$11,$T$11))</f>
        <v>　レベル　2</v>
      </c>
      <c r="L72" s="1065"/>
      <c r="M72" s="1066"/>
      <c r="N72" s="1066"/>
      <c r="O72" s="1067"/>
    </row>
    <row r="73" spans="2:15" ht="15.75" hidden="1">
      <c r="B73" s="1" t="s">
        <v>3163</v>
      </c>
      <c r="C73" s="1" t="s">
        <v>3163</v>
      </c>
      <c r="D73" s="1025"/>
      <c r="E73" s="1026"/>
      <c r="F73" s="1061" t="str">
        <f>IF(F69=$S$15,$T$12,IF(AND($O$3=$U$3,ROUNDDOWN(F69,0)=$S$12),$U$12,$T$12))</f>
        <v>■レベル　3</v>
      </c>
      <c r="G73" s="1065" t="s">
        <v>1284</v>
      </c>
      <c r="H73" s="1066"/>
      <c r="I73" s="1066"/>
      <c r="J73" s="1067"/>
      <c r="K73" s="1061" t="str">
        <f>IF(K69=$S$15,$T$12,IF(AND($O$3=$U$3,ROUNDDOWN(K69,0)=$S$12),$U$12,$T$12))</f>
        <v>■レベル　3</v>
      </c>
      <c r="L73" s="1065" t="s">
        <v>3093</v>
      </c>
      <c r="M73" s="1066"/>
      <c r="N73" s="1066"/>
      <c r="O73" s="1067"/>
    </row>
    <row r="74" spans="2:15" ht="15.75" hidden="1">
      <c r="B74" s="1">
        <v>5</v>
      </c>
      <c r="C74" s="1">
        <v>5</v>
      </c>
      <c r="D74" s="1025"/>
      <c r="E74" s="1026"/>
      <c r="F74" s="1061" t="str">
        <f>IF(F69=$S$15,$T$13,IF(AND($O$3=$U$3,ROUNDDOWN(F69,0)=$S$13),$U$13,$T$13))</f>
        <v>　レベル　4</v>
      </c>
      <c r="G74" s="1065"/>
      <c r="H74" s="1066"/>
      <c r="I74" s="1066"/>
      <c r="J74" s="1067"/>
      <c r="K74" s="1061" t="str">
        <f>IF(K69=$S$15,$T$13,IF(AND($O$3=$U$3,ROUNDDOWN(K69,0)=$S$13),$U$13,$T$13))</f>
        <v>　レベル　4</v>
      </c>
      <c r="L74" s="1065"/>
      <c r="M74" s="1066"/>
      <c r="N74" s="1066"/>
      <c r="O74" s="1067"/>
    </row>
    <row r="75" spans="2:15" ht="15.75" hidden="1">
      <c r="B75" s="1079">
        <v>0</v>
      </c>
      <c r="C75" s="1079">
        <v>0</v>
      </c>
      <c r="D75" s="1025"/>
      <c r="E75" s="1026"/>
      <c r="F75" s="1072" t="str">
        <f>IF(F69=$S$15,$T$14,IF(AND($O$3=$U$3,ROUNDDOWN(F69,0)=$S$14),$U$14,$T$14))</f>
        <v>　レベル　5</v>
      </c>
      <c r="G75" s="1076" t="s">
        <v>3094</v>
      </c>
      <c r="H75" s="1077"/>
      <c r="I75" s="1077"/>
      <c r="J75" s="1078"/>
      <c r="K75" s="1072" t="str">
        <f>IF(K69=$S$15,$T$14,IF(AND($O$3=$U$3,ROUNDDOWN(K69,0)=$S$14),$U$14,$T$14))</f>
        <v>　レベル　5</v>
      </c>
      <c r="L75" s="1076" t="s">
        <v>3095</v>
      </c>
      <c r="M75" s="1077"/>
      <c r="N75" s="1077"/>
      <c r="O75" s="1078"/>
    </row>
    <row r="76" spans="2:15" ht="15.75" hidden="1">
      <c r="D76" s="1025"/>
      <c r="E76" s="1030"/>
      <c r="F76" s="1166"/>
      <c r="G76" s="1166" t="s">
        <v>1379</v>
      </c>
      <c r="H76" s="1054"/>
      <c r="I76" s="1054"/>
      <c r="J76" s="1055"/>
      <c r="K76" s="1168"/>
      <c r="L76" s="1166" t="s">
        <v>1379</v>
      </c>
      <c r="M76" s="1054"/>
      <c r="N76" s="1054"/>
      <c r="O76" s="1055"/>
    </row>
    <row r="77" spans="2:15" ht="15.75">
      <c r="D77" s="1025"/>
      <c r="E77" s="1030"/>
      <c r="F77" s="1169" t="str">
        <f>IF(F69=$S$15,$T$10,IF(AND($O$3&lt;&gt;$U$3,ROUNDDOWN(F69,0)=$S$10),$U$10,$T$10))</f>
        <v>　レベル　1</v>
      </c>
      <c r="G77" s="1058" t="s">
        <v>1285</v>
      </c>
      <c r="H77" s="1059"/>
      <c r="I77" s="1059"/>
      <c r="J77" s="1060"/>
      <c r="K77" s="1169" t="str">
        <f>IF(K69=$S$15,$T$10,IF(AND($O$3&lt;&gt;$U$3,ROUNDDOWN(K69,0)=$S$10),$U$10,$T$10))</f>
        <v>　レベル　1</v>
      </c>
      <c r="L77" s="1058" t="s">
        <v>1285</v>
      </c>
      <c r="M77" s="1059"/>
      <c r="N77" s="1059"/>
      <c r="O77" s="1060"/>
    </row>
    <row r="78" spans="2:15" ht="15.75">
      <c r="D78" s="1025"/>
      <c r="E78" s="1030"/>
      <c r="F78" s="1061" t="str">
        <f>IF(F69=$S$15,$T$11,IF(AND($O$3&lt;&gt;$U$3,ROUNDDOWN(F69,0)=$S$11),$U$11,$T$11))</f>
        <v>　レベル　2</v>
      </c>
      <c r="G78" s="1065" t="s">
        <v>2365</v>
      </c>
      <c r="H78" s="1066"/>
      <c r="I78" s="1066"/>
      <c r="J78" s="1067"/>
      <c r="K78" s="1061" t="str">
        <f>IF(K69=$S$15,$T$11,IF(AND($O$3&lt;&gt;$U$3,ROUNDDOWN(K69,0)=$S$11),$U$11,$T$11))</f>
        <v>　レベル　2</v>
      </c>
      <c r="L78" s="1065" t="s">
        <v>2365</v>
      </c>
      <c r="M78" s="1066"/>
      <c r="N78" s="1066"/>
      <c r="O78" s="1067"/>
    </row>
    <row r="79" spans="2:15" ht="15.75">
      <c r="D79" s="1025"/>
      <c r="E79" s="1030"/>
      <c r="F79" s="1061" t="str">
        <f>IF(F69=$S$15,$T$12,IF(AND($O$3&lt;&gt;$U$3,ROUNDDOWN(F69,0)=$S$12),$U$12,$T$12))</f>
        <v>　レベル　3</v>
      </c>
      <c r="G79" s="1065" t="s">
        <v>1286</v>
      </c>
      <c r="H79" s="1066"/>
      <c r="I79" s="1066"/>
      <c r="J79" s="1067"/>
      <c r="K79" s="1061" t="str">
        <f>IF(K69=$S$15,$T$12,IF(AND($O$3&lt;&gt;$U$3,ROUNDDOWN(K69,0)=$S$12),$U$12,$T$12))</f>
        <v>　レベル　3</v>
      </c>
      <c r="L79" s="1065" t="s">
        <v>1286</v>
      </c>
      <c r="M79" s="1066"/>
      <c r="N79" s="1066"/>
      <c r="O79" s="1067"/>
    </row>
    <row r="80" spans="2:15" ht="15.75">
      <c r="D80" s="1025"/>
      <c r="E80" s="1030"/>
      <c r="F80" s="1061" t="str">
        <f>IF(F69=$S$15,$T$13,IF(AND($O$3&lt;&gt;$U$3,ROUNDDOWN(F69,0)=$S$13),$U$13,$T$13))</f>
        <v>　レベル　4</v>
      </c>
      <c r="G80" s="1065" t="s">
        <v>2365</v>
      </c>
      <c r="H80" s="1066"/>
      <c r="I80" s="1066"/>
      <c r="J80" s="1067"/>
      <c r="K80" s="1061" t="str">
        <f>IF(K69=$S$15,$T$13,IF(AND($O$3&lt;&gt;$U$3,ROUNDDOWN(K69,0)=$S$13),$U$13,$T$13))</f>
        <v>　レベル　4</v>
      </c>
      <c r="L80" s="1065" t="s">
        <v>2365</v>
      </c>
      <c r="M80" s="1066"/>
      <c r="N80" s="1066"/>
      <c r="O80" s="1067"/>
    </row>
    <row r="81" spans="2:15" ht="15.75">
      <c r="D81" s="1025"/>
      <c r="E81" s="1030"/>
      <c r="F81" s="1072" t="str">
        <f>IF(F69=$S$15,$T$14,IF(AND($O$3&lt;&gt;$U$3,ROUNDDOWN(F69,0)=$S$14),$U$14,$T$14))</f>
        <v>　レベル　5</v>
      </c>
      <c r="G81" s="1076" t="s">
        <v>1287</v>
      </c>
      <c r="H81" s="1077"/>
      <c r="I81" s="1077"/>
      <c r="J81" s="1078"/>
      <c r="K81" s="1072" t="str">
        <f>IF(K69=$S$15,$T$14,IF(AND($O$3&lt;&gt;$U$3,ROUNDDOWN(K69,0)=$S$14),$U$14,$T$14))</f>
        <v>　レベル　5</v>
      </c>
      <c r="L81" s="1076" t="s">
        <v>1287</v>
      </c>
      <c r="M81" s="1077"/>
      <c r="N81" s="1077"/>
      <c r="O81" s="1078"/>
    </row>
    <row r="82" spans="2:15" ht="15.75">
      <c r="D82" s="1025"/>
      <c r="E82" s="1030"/>
      <c r="F82" s="1030"/>
      <c r="G82" s="1170"/>
      <c r="H82" s="1170"/>
      <c r="I82" s="1170"/>
      <c r="J82" s="1170"/>
      <c r="K82" s="1170"/>
      <c r="L82" s="1170"/>
      <c r="M82" s="1170"/>
      <c r="N82" s="1170"/>
      <c r="O82" s="1170"/>
    </row>
    <row r="83" spans="2:15" ht="15.75">
      <c r="D83" s="1020"/>
      <c r="E83" s="1021"/>
      <c r="F83" s="1036" t="s">
        <v>1288</v>
      </c>
      <c r="G83" s="1116"/>
      <c r="H83" s="1165"/>
      <c r="I83" s="1145"/>
      <c r="J83" s="1119" t="str">
        <f>IF(OR(F85=0,AND(J84=0,O84=0)),$R$3,"")</f>
        <v/>
      </c>
      <c r="K83" s="1115"/>
      <c r="L83" s="1116"/>
      <c r="M83" s="1165"/>
      <c r="N83" s="1145"/>
      <c r="O83" s="1145"/>
    </row>
    <row r="84" spans="2:15" ht="16.5" thickBot="1">
      <c r="D84" s="1025"/>
      <c r="E84" s="1026"/>
      <c r="F84" s="1042" t="s">
        <v>1980</v>
      </c>
      <c r="G84" s="1043"/>
      <c r="H84" s="1044"/>
      <c r="I84" s="1045" t="s">
        <v>1484</v>
      </c>
      <c r="J84" s="1048">
        <f>重み!M16</f>
        <v>0.4</v>
      </c>
      <c r="K84" s="1042" t="s">
        <v>2123</v>
      </c>
      <c r="L84" s="1043"/>
      <c r="M84" s="1044"/>
      <c r="N84" s="1045" t="s">
        <v>1484</v>
      </c>
      <c r="O84" s="1048">
        <f>重み!N16</f>
        <v>0</v>
      </c>
    </row>
    <row r="85" spans="2:15" ht="16.5" thickBot="1">
      <c r="D85" s="1025"/>
      <c r="E85" s="1026"/>
      <c r="F85" s="1049">
        <v>3</v>
      </c>
      <c r="G85" s="1054" t="s">
        <v>1172</v>
      </c>
      <c r="H85" s="1054"/>
      <c r="I85" s="1166" t="s">
        <v>1173</v>
      </c>
      <c r="J85" s="1055"/>
      <c r="K85" s="1049">
        <v>3</v>
      </c>
      <c r="L85" s="1166" t="s">
        <v>1488</v>
      </c>
      <c r="M85" s="1055"/>
      <c r="N85" s="1166"/>
      <c r="O85" s="1171"/>
    </row>
    <row r="86" spans="2:15" ht="15.75" hidden="1">
      <c r="B86" s="1">
        <v>1</v>
      </c>
      <c r="C86" s="1">
        <v>1</v>
      </c>
      <c r="D86" s="1025"/>
      <c r="E86" s="1026"/>
      <c r="F86" s="1167"/>
      <c r="G86" s="1054" t="s">
        <v>1380</v>
      </c>
      <c r="H86" s="1172"/>
      <c r="I86" s="1172"/>
      <c r="J86" s="1173"/>
      <c r="K86" s="1167"/>
      <c r="L86" s="1054" t="s">
        <v>1380</v>
      </c>
      <c r="M86" s="1172"/>
      <c r="N86" s="1172"/>
      <c r="O86" s="1173"/>
    </row>
    <row r="87" spans="2:15" ht="30" hidden="1" customHeight="1">
      <c r="B87" s="1">
        <v>2</v>
      </c>
      <c r="C87" s="1">
        <v>2</v>
      </c>
      <c r="D87" s="1025"/>
      <c r="E87" s="1026"/>
      <c r="F87" s="1061" t="str">
        <f>IF(F85=$S$15,$T$10,IF(AND($O$3=$U$3,ROUNDDOWN(F85,0)=$S$10),$U$10,$T$10))</f>
        <v>　レベル　1</v>
      </c>
      <c r="G87" s="1174" t="s">
        <v>1290</v>
      </c>
      <c r="H87" s="1175"/>
      <c r="I87" s="1174" t="s">
        <v>2904</v>
      </c>
      <c r="J87" s="1175"/>
      <c r="K87" s="1061" t="str">
        <f>IF(K85=$S$15,$T$10,IF(AND($O$3=$U$3,ROUNDDOWN(K85,0)=$S$10),$U$10,$T$10))</f>
        <v>　レベル　1</v>
      </c>
      <c r="L87" s="2913" t="s">
        <v>340</v>
      </c>
      <c r="M87" s="2914"/>
      <c r="N87" s="2896" t="s">
        <v>341</v>
      </c>
      <c r="O87" s="2902"/>
    </row>
    <row r="88" spans="2:15" ht="30" hidden="1" customHeight="1">
      <c r="B88" s="1">
        <v>3</v>
      </c>
      <c r="C88" s="1">
        <v>3</v>
      </c>
      <c r="D88" s="1025"/>
      <c r="E88" s="1026"/>
      <c r="F88" s="1061" t="str">
        <f>IF(F85=$S$15,$T$11,IF(AND($O$3=$U$3,ROUNDDOWN(F85,0)=$S$11),$U$11,$T$11))</f>
        <v>　レベル　2</v>
      </c>
      <c r="G88" s="1065"/>
      <c r="H88" s="1066"/>
      <c r="I88" s="1065"/>
      <c r="J88" s="1066"/>
      <c r="K88" s="1061" t="str">
        <f>IF(K85=$S$15,$T$11,IF(AND($O$3=$U$3,ROUNDDOWN(K85,0)=$S$11),$U$11,$T$11))</f>
        <v>　レベル　2</v>
      </c>
      <c r="L88" s="1064"/>
      <c r="M88" s="1176"/>
      <c r="N88" s="1069"/>
      <c r="O88" s="1176"/>
    </row>
    <row r="89" spans="2:15" ht="30" hidden="1" customHeight="1">
      <c r="B89" s="1">
        <v>4</v>
      </c>
      <c r="C89" s="1">
        <v>4</v>
      </c>
      <c r="D89" s="1025"/>
      <c r="E89" s="1026"/>
      <c r="F89" s="1061" t="str">
        <f>IF(F85=$S$15,$T$12,IF(AND($O$3=$U$3,ROUNDDOWN(F85,0)=$S$12),$U$12,$T$12))</f>
        <v>■レベル　3</v>
      </c>
      <c r="G89" s="1065" t="s">
        <v>342</v>
      </c>
      <c r="H89" s="1066"/>
      <c r="I89" s="1065" t="s">
        <v>343</v>
      </c>
      <c r="J89" s="1066"/>
      <c r="K89" s="1061" t="str">
        <f>IF(K85=$S$15,$T$12,IF(AND($O$3=$U$3,ROUNDDOWN(K85,0)=$S$12),$U$12,$T$12))</f>
        <v>■レベル　3</v>
      </c>
      <c r="L89" s="2918" t="s">
        <v>344</v>
      </c>
      <c r="M89" s="2901"/>
      <c r="N89" s="2900" t="s">
        <v>345</v>
      </c>
      <c r="O89" s="2901"/>
    </row>
    <row r="90" spans="2:15" ht="30" hidden="1" customHeight="1">
      <c r="B90" s="1">
        <v>5</v>
      </c>
      <c r="C90" s="1">
        <v>5</v>
      </c>
      <c r="D90" s="1025"/>
      <c r="E90" s="1026"/>
      <c r="F90" s="1061" t="str">
        <f>IF(F85=$S$15,$T$13,IF(AND($O$3=$U$3,ROUNDDOWN(F85,0)=$S$13),$U$13,$T$13))</f>
        <v>　レベル　4</v>
      </c>
      <c r="G90" s="1065" t="s">
        <v>2905</v>
      </c>
      <c r="H90" s="1066"/>
      <c r="I90" s="1065" t="s">
        <v>2905</v>
      </c>
      <c r="J90" s="1066"/>
      <c r="K90" s="1061" t="str">
        <f>IF(K85=$S$15,$T$13,IF(AND($O$3=$U$3,ROUNDDOWN(K85,0)=$S$13),$U$13,$T$13))</f>
        <v>　レベル　4</v>
      </c>
      <c r="L90" s="1064"/>
      <c r="M90" s="1176"/>
      <c r="N90" s="1069"/>
      <c r="O90" s="1176"/>
    </row>
    <row r="91" spans="2:15" ht="30" hidden="1" customHeight="1">
      <c r="B91" s="1079">
        <v>0</v>
      </c>
      <c r="C91" s="1079">
        <v>0</v>
      </c>
      <c r="D91" s="1025"/>
      <c r="E91" s="1026"/>
      <c r="F91" s="1072" t="str">
        <f>IF(F85=$S$15,$T$14,IF(AND($O$3=$U$3,ROUNDDOWN(F85,0)=$S$14),$U$14,$T$14))</f>
        <v>　レベル　5</v>
      </c>
      <c r="G91" s="1076" t="s">
        <v>2906</v>
      </c>
      <c r="H91" s="1077"/>
      <c r="I91" s="1076" t="s">
        <v>346</v>
      </c>
      <c r="J91" s="1077"/>
      <c r="K91" s="1072" t="str">
        <f>IF(K85=$S$15,$T$14,IF(AND($O$3=$U$3,ROUNDDOWN(K85,0)=$S$14),$U$14,$T$14))</f>
        <v>　レベル　5</v>
      </c>
      <c r="L91" s="2919" t="s">
        <v>2907</v>
      </c>
      <c r="M91" s="2899"/>
      <c r="N91" s="2898" t="s">
        <v>2908</v>
      </c>
      <c r="O91" s="2899"/>
    </row>
    <row r="92" spans="2:15" ht="15.75" hidden="1">
      <c r="D92" s="1025"/>
      <c r="E92" s="1026"/>
      <c r="F92" s="1168"/>
      <c r="G92" s="1166" t="s">
        <v>1379</v>
      </c>
      <c r="H92" s="1054"/>
      <c r="I92" s="1054"/>
      <c r="J92" s="1055"/>
      <c r="K92" s="1168"/>
      <c r="L92" s="1166" t="s">
        <v>1379</v>
      </c>
      <c r="M92" s="1054"/>
      <c r="N92" s="1054"/>
      <c r="O92" s="1055"/>
    </row>
    <row r="93" spans="2:15" ht="15.75">
      <c r="D93" s="1025"/>
      <c r="E93" s="1026"/>
      <c r="F93" s="1169" t="str">
        <f>IF(F85=$S$15,$T$10,IF(AND($O$3&lt;&gt;$U$3,ROUNDDOWN(F85,0)=$S$10),$U$10,$T$10))</f>
        <v>　レベル　1</v>
      </c>
      <c r="G93" s="1058" t="s">
        <v>2909</v>
      </c>
      <c r="H93" s="1059"/>
      <c r="I93" s="1058" t="s">
        <v>2910</v>
      </c>
      <c r="J93" s="1059"/>
      <c r="K93" s="1169" t="str">
        <f>IF(K85=$S$15,$T$10,IF(AND($O$3&lt;&gt;$U$3,ROUNDDOWN(K85,0)=$S$10),$U$10,$T$10))</f>
        <v>　レベル　1</v>
      </c>
      <c r="L93" s="1123" t="s">
        <v>347</v>
      </c>
      <c r="M93" s="2916"/>
      <c r="N93" s="2916"/>
      <c r="O93" s="2902"/>
    </row>
    <row r="94" spans="2:15" ht="15.75">
      <c r="D94" s="1025"/>
      <c r="E94" s="1026"/>
      <c r="F94" s="1061" t="str">
        <f>IF(F85=$S$15,$T$11,IF(AND($O$3&lt;&gt;$U$3,ROUNDDOWN(F85,0)=$S$11),$U$11,$T$11))</f>
        <v>　レベル　2</v>
      </c>
      <c r="G94" s="1065" t="s">
        <v>2911</v>
      </c>
      <c r="H94" s="1066"/>
      <c r="I94" s="1065" t="s">
        <v>2912</v>
      </c>
      <c r="J94" s="1066"/>
      <c r="K94" s="1061" t="str">
        <f>IF(K85=$S$15,$T$11,IF(AND($O$3&lt;&gt;$U$3,ROUNDDOWN(K85,0)=$S$11),$U$11,$T$11))</f>
        <v>　レベル　2</v>
      </c>
      <c r="L94" s="1069" t="s">
        <v>348</v>
      </c>
      <c r="M94" s="2917"/>
      <c r="N94" s="2906"/>
      <c r="O94" s="2901"/>
    </row>
    <row r="95" spans="2:15" ht="15.75">
      <c r="D95" s="1025"/>
      <c r="E95" s="1026"/>
      <c r="F95" s="1061" t="str">
        <f>IF(F85=$S$15,$T$12,IF(AND($O$3&lt;&gt;$U$3,ROUNDDOWN(F85,0)=$S$12),$U$12,$T$12))</f>
        <v>　レベル　3</v>
      </c>
      <c r="G95" s="1065" t="s">
        <v>2912</v>
      </c>
      <c r="H95" s="1066"/>
      <c r="I95" s="1065" t="s">
        <v>2913</v>
      </c>
      <c r="J95" s="1066"/>
      <c r="K95" s="1061" t="str">
        <f>IF(K85=$S$15,$T$12,IF(AND($O$3&lt;&gt;$U$3,ROUNDDOWN(K85,0)=$S$12),$U$12,$T$12))</f>
        <v>　レベル　3</v>
      </c>
      <c r="L95" s="1069" t="s">
        <v>349</v>
      </c>
      <c r="M95" s="2917"/>
      <c r="N95" s="2906"/>
      <c r="O95" s="2901"/>
    </row>
    <row r="96" spans="2:15" ht="15.75">
      <c r="D96" s="1025"/>
      <c r="E96" s="1026"/>
      <c r="F96" s="1061" t="str">
        <f>IF(F85=$S$15,$T$13,IF(AND($O$3&lt;&gt;$U$3,ROUNDDOWN(F85,0)=$S$13),$U$13,$T$13))</f>
        <v>　レベル　4</v>
      </c>
      <c r="G96" s="1065" t="s">
        <v>2913</v>
      </c>
      <c r="H96" s="1066"/>
      <c r="I96" s="1065" t="s">
        <v>2168</v>
      </c>
      <c r="J96" s="1066"/>
      <c r="K96" s="1061" t="str">
        <f>IF(K85=$S$15,$T$13,IF(AND($O$3&lt;&gt;$U$3,ROUNDDOWN(K85,0)=$S$13),$U$13,$T$13))</f>
        <v>　レベル　4</v>
      </c>
      <c r="L96" s="1069" t="s">
        <v>350</v>
      </c>
      <c r="M96" s="2917"/>
      <c r="N96" s="2906"/>
      <c r="O96" s="2901"/>
    </row>
    <row r="97" spans="2:15" ht="15.75">
      <c r="D97" s="1025"/>
      <c r="E97" s="1026"/>
      <c r="F97" s="1072" t="str">
        <f>IF(F85=$S$15,$T$14,IF(AND($O$3&lt;&gt;$U$3,ROUNDDOWN(F85,0)=$S$14),$U$14,$T$14))</f>
        <v>　レベル　5</v>
      </c>
      <c r="G97" s="1076" t="s">
        <v>2169</v>
      </c>
      <c r="H97" s="1077"/>
      <c r="I97" s="1076" t="s">
        <v>2170</v>
      </c>
      <c r="J97" s="1077"/>
      <c r="K97" s="1072" t="str">
        <f>IF(K85=$S$15,$T$14,IF(AND($O$3&lt;&gt;$U$3,ROUNDDOWN(K85,0)=$S$14),$U$14,$T$14))</f>
        <v>　レベル　5</v>
      </c>
      <c r="L97" s="1073" t="s">
        <v>2171</v>
      </c>
      <c r="M97" s="2922"/>
      <c r="N97" s="2905"/>
      <c r="O97" s="2899"/>
    </row>
    <row r="98" spans="2:15" ht="15.75">
      <c r="D98" s="1025"/>
      <c r="E98" s="1026"/>
      <c r="F98" s="1026"/>
      <c r="G98" s="1115"/>
      <c r="H98" s="1115"/>
      <c r="I98" s="1115"/>
      <c r="J98" s="1115"/>
      <c r="K98" s="1115"/>
      <c r="L98" s="1115"/>
      <c r="M98" s="1115"/>
      <c r="N98" s="1115"/>
      <c r="O98" s="1115"/>
    </row>
    <row r="99" spans="2:15" ht="15.75">
      <c r="D99" s="1020"/>
      <c r="E99" s="1021"/>
      <c r="F99" s="1036" t="s">
        <v>351</v>
      </c>
      <c r="G99" s="1116"/>
      <c r="H99" s="1165"/>
      <c r="I99" s="1145"/>
      <c r="J99" s="1119" t="str">
        <f>IF(OR(F101=0,AND(J100=0,O100=0)),$R$3,"")</f>
        <v>&lt;評価しない&gt;</v>
      </c>
      <c r="K99" s="1115"/>
      <c r="L99" s="1116"/>
      <c r="M99" s="1165"/>
      <c r="N99" s="1145"/>
      <c r="O99" s="1145"/>
    </row>
    <row r="100" spans="2:15" ht="16.5" thickBot="1">
      <c r="D100" s="1025"/>
      <c r="E100" s="1178"/>
      <c r="F100" s="1042" t="s">
        <v>352</v>
      </c>
      <c r="G100" s="1043"/>
      <c r="H100" s="1044"/>
      <c r="I100" s="1045" t="s">
        <v>1484</v>
      </c>
      <c r="J100" s="1048">
        <f>重み!M17</f>
        <v>0</v>
      </c>
      <c r="K100" s="1042" t="s">
        <v>2123</v>
      </c>
      <c r="L100" s="1043"/>
      <c r="M100" s="1044"/>
      <c r="N100" s="1045" t="s">
        <v>1484</v>
      </c>
      <c r="O100" s="1048">
        <f>重み!N17</f>
        <v>0</v>
      </c>
    </row>
    <row r="101" spans="2:15" ht="16.5" thickBot="1">
      <c r="D101" s="1025"/>
      <c r="E101" s="1178"/>
      <c r="F101" s="1049">
        <v>3</v>
      </c>
      <c r="G101" s="1166" t="s">
        <v>2172</v>
      </c>
      <c r="H101" s="1054"/>
      <c r="I101" s="1054"/>
      <c r="J101" s="1055"/>
      <c r="K101" s="1049">
        <v>3</v>
      </c>
      <c r="L101" s="1166" t="s">
        <v>353</v>
      </c>
      <c r="M101" s="1054"/>
      <c r="N101" s="1054"/>
      <c r="O101" s="1055"/>
    </row>
    <row r="102" spans="2:15" ht="15.75" hidden="1">
      <c r="B102" s="1">
        <v>1</v>
      </c>
      <c r="C102" s="1">
        <v>1</v>
      </c>
      <c r="D102" s="1025"/>
      <c r="E102" s="1178"/>
      <c r="F102" s="1167"/>
      <c r="G102" s="1166" t="s">
        <v>1380</v>
      </c>
      <c r="H102" s="1054"/>
      <c r="I102" s="1054"/>
      <c r="J102" s="1055"/>
      <c r="K102" s="1167"/>
      <c r="L102" s="1166" t="s">
        <v>1380</v>
      </c>
      <c r="M102" s="1054"/>
      <c r="N102" s="1054"/>
      <c r="O102" s="1055"/>
    </row>
    <row r="103" spans="2:15" ht="15.75" hidden="1">
      <c r="B103" s="1">
        <v>2</v>
      </c>
      <c r="C103" s="1">
        <v>2</v>
      </c>
      <c r="D103" s="1025"/>
      <c r="E103" s="1179"/>
      <c r="F103" s="1061" t="str">
        <f>IF(F101=$S$15,$T$10,IF(AND($O$3=$U$3,ROUNDDOWN(F101,0)=$S$10),$U$10,$T$10))</f>
        <v>　レベル　1</v>
      </c>
      <c r="G103" s="1058" t="s">
        <v>354</v>
      </c>
      <c r="H103" s="1059"/>
      <c r="I103" s="1059"/>
      <c r="J103" s="1060"/>
      <c r="K103" s="1061" t="str">
        <f>IF(K101=$S$15,$T$10,IF(AND($O$3=$U$3,ROUNDDOWN(K101,0)=$S$10),$U$10,$T$10))</f>
        <v>　レベル　1</v>
      </c>
      <c r="L103" s="1058" t="s">
        <v>707</v>
      </c>
      <c r="M103" s="1059"/>
      <c r="N103" s="1059"/>
      <c r="O103" s="1060"/>
    </row>
    <row r="104" spans="2:15" ht="15.75" hidden="1">
      <c r="B104" s="1">
        <v>3</v>
      </c>
      <c r="C104" s="1">
        <v>3</v>
      </c>
      <c r="D104" s="1025"/>
      <c r="E104" s="1179"/>
      <c r="F104" s="1061" t="str">
        <f>IF(F101=$S$15,$T$11,IF(AND($O$3=$U$3,ROUNDDOWN(F101,0)=$S$11),$U$11,$T$11))</f>
        <v>　レベル　2</v>
      </c>
      <c r="G104" s="1065"/>
      <c r="H104" s="1066"/>
      <c r="I104" s="1066"/>
      <c r="J104" s="1067"/>
      <c r="K104" s="1061" t="str">
        <f>IF(K101=$S$15,$T$11,IF(AND($O$3=$U$3,ROUNDDOWN(K101,0)=$S$11),$U$11,$T$11))</f>
        <v>　レベル　2</v>
      </c>
      <c r="L104" s="1065"/>
      <c r="M104" s="1066"/>
      <c r="N104" s="1066"/>
      <c r="O104" s="1067"/>
    </row>
    <row r="105" spans="2:15" ht="15.75" hidden="1">
      <c r="B105" s="1">
        <v>4</v>
      </c>
      <c r="C105" s="1">
        <v>4</v>
      </c>
      <c r="D105" s="1025"/>
      <c r="E105" s="1179"/>
      <c r="F105" s="1061" t="str">
        <f>IF(F101=$S$15,$T$12,IF(AND($O$3=$U$3,ROUNDDOWN(F101,0)=$S$12),$U$12,$T$12))</f>
        <v>■レベル　3</v>
      </c>
      <c r="G105" s="1065" t="s">
        <v>707</v>
      </c>
      <c r="H105" s="1066"/>
      <c r="I105" s="1066"/>
      <c r="J105" s="1067"/>
      <c r="K105" s="1061" t="str">
        <f>IF(K101=$S$15,$T$12,IF(AND($O$3=$U$3,ROUNDDOWN(K101,0)=$S$12),$U$12,$T$12))</f>
        <v>■レベル　3</v>
      </c>
      <c r="L105" s="1065" t="s">
        <v>708</v>
      </c>
      <c r="M105" s="1066"/>
      <c r="N105" s="1066"/>
      <c r="O105" s="1067"/>
    </row>
    <row r="106" spans="2:15" ht="15.75" hidden="1">
      <c r="B106" s="1">
        <v>5</v>
      </c>
      <c r="C106" s="1">
        <v>5</v>
      </c>
      <c r="D106" s="1025"/>
      <c r="E106" s="1179"/>
      <c r="F106" s="1061" t="str">
        <f>IF(F101=$S$15,$T$13,IF(AND($O$3=$U$3,ROUNDDOWN(F101,0)=$S$13),$U$13,$T$13))</f>
        <v>　レベル　4</v>
      </c>
      <c r="G106" s="1065"/>
      <c r="H106" s="1066"/>
      <c r="I106" s="1066"/>
      <c r="J106" s="1067"/>
      <c r="K106" s="1061" t="str">
        <f>IF(K101=$S$15,$T$13,IF(AND($O$3=$U$3,ROUNDDOWN(K101,0)=$S$13),$U$13,$T$13))</f>
        <v>　レベル　4</v>
      </c>
      <c r="L106" s="1065"/>
      <c r="M106" s="1066"/>
      <c r="N106" s="1066"/>
      <c r="O106" s="1067"/>
    </row>
    <row r="107" spans="2:15" ht="15.75" hidden="1">
      <c r="B107" s="1079">
        <v>0</v>
      </c>
      <c r="C107" s="1079">
        <v>0</v>
      </c>
      <c r="D107" s="1025"/>
      <c r="E107" s="1179"/>
      <c r="F107" s="1072" t="str">
        <f>IF(F101=$S$15,$T$14,IF(AND($O$3=$U$3,ROUNDDOWN(F101,0)=$S$14),$U$14,$T$14))</f>
        <v>　レベル　5</v>
      </c>
      <c r="G107" s="1076" t="s">
        <v>709</v>
      </c>
      <c r="H107" s="1077"/>
      <c r="I107" s="1077"/>
      <c r="J107" s="1078"/>
      <c r="K107" s="1072" t="str">
        <f>IF(K101=$S$15,$T$14,IF(AND($O$3=$U$3,ROUNDDOWN(K101,0)=$S$14),$U$14,$T$14))</f>
        <v>　レベル　5</v>
      </c>
      <c r="L107" s="1076" t="s">
        <v>710</v>
      </c>
      <c r="M107" s="1077"/>
      <c r="N107" s="1077"/>
      <c r="O107" s="1078"/>
    </row>
    <row r="108" spans="2:15" ht="15.75" hidden="1">
      <c r="D108" s="1025"/>
      <c r="E108" s="1026"/>
      <c r="F108" s="1168"/>
      <c r="G108" s="1166" t="s">
        <v>1379</v>
      </c>
      <c r="H108" s="1054"/>
      <c r="I108" s="1054"/>
      <c r="J108" s="1055"/>
      <c r="K108" s="1168"/>
      <c r="L108" s="1166" t="s">
        <v>1379</v>
      </c>
      <c r="M108" s="1054"/>
      <c r="N108" s="1054"/>
      <c r="O108" s="1055"/>
    </row>
    <row r="109" spans="2:15" ht="15.75">
      <c r="D109" s="1025"/>
      <c r="E109" s="1026"/>
      <c r="F109" s="1169" t="str">
        <f>IF(F101=$S$15,$T$10,IF(AND($O$3&lt;&gt;$U$3,ROUNDDOWN(F101,0)=$S$10),$U$10,$T$10))</f>
        <v>　レベル　1</v>
      </c>
      <c r="G109" s="1058" t="s">
        <v>711</v>
      </c>
      <c r="H109" s="1059"/>
      <c r="I109" s="1059"/>
      <c r="J109" s="1060"/>
      <c r="K109" s="1169" t="str">
        <f>IF(K101=$S$15,$T$10,IF(AND($O$3&lt;&gt;$U$3,ROUNDDOWN(K101,0)=$S$10),$U$10,$T$10))</f>
        <v>　レベル　1</v>
      </c>
      <c r="L109" s="1058" t="s">
        <v>712</v>
      </c>
      <c r="M109" s="1059"/>
      <c r="N109" s="1059"/>
      <c r="O109" s="1060"/>
    </row>
    <row r="110" spans="2:15" ht="15.75">
      <c r="D110" s="1025"/>
      <c r="E110" s="1026"/>
      <c r="F110" s="1061" t="str">
        <f>IF(F101=$S$15,$T$11,IF(AND($O$3&lt;&gt;$U$3,ROUNDDOWN(F101,0)=$S$11),$U$11,$T$11))</f>
        <v>　レベル　2</v>
      </c>
      <c r="G110" s="1065" t="s">
        <v>713</v>
      </c>
      <c r="H110" s="1066"/>
      <c r="I110" s="1066"/>
      <c r="J110" s="1067"/>
      <c r="K110" s="1061" t="str">
        <f>IF(K101=$S$15,$T$11,IF(AND($O$3&lt;&gt;$U$3,ROUNDDOWN(K101,0)=$S$11),$U$11,$T$11))</f>
        <v>　レベル　2</v>
      </c>
      <c r="L110" s="1065" t="s">
        <v>2040</v>
      </c>
      <c r="M110" s="1066"/>
      <c r="N110" s="1066"/>
      <c r="O110" s="1067"/>
    </row>
    <row r="111" spans="2:15" ht="15.75">
      <c r="D111" s="1025"/>
      <c r="E111" s="1026"/>
      <c r="F111" s="1061" t="str">
        <f>IF(F101=$S$15,$T$12,IF(AND($O$3&lt;&gt;$U$3,ROUNDDOWN(F101,0)=$S$12),$U$12,$T$12))</f>
        <v>　レベル　3</v>
      </c>
      <c r="G111" s="1065" t="s">
        <v>2041</v>
      </c>
      <c r="H111" s="1066"/>
      <c r="I111" s="1066"/>
      <c r="J111" s="1067"/>
      <c r="K111" s="1061" t="str">
        <f>IF(K101=$S$15,$T$12,IF(AND($O$3&lt;&gt;$U$3,ROUNDDOWN(K101,0)=$S$12),$U$12,$T$12))</f>
        <v>　レベル　3</v>
      </c>
      <c r="L111" s="1065" t="s">
        <v>2042</v>
      </c>
      <c r="M111" s="1066"/>
      <c r="N111" s="1066"/>
      <c r="O111" s="1067"/>
    </row>
    <row r="112" spans="2:15" ht="15.75">
      <c r="D112" s="1025"/>
      <c r="E112" s="1026"/>
      <c r="F112" s="1061" t="str">
        <f>IF(F101=$S$15,$T$13,IF(AND($O$3&lt;&gt;$U$3,ROUNDDOWN(F101,0)=$S$13),$U$13,$T$13))</f>
        <v>　レベル　4</v>
      </c>
      <c r="G112" s="1065" t="s">
        <v>2040</v>
      </c>
      <c r="H112" s="1066"/>
      <c r="I112" s="1066"/>
      <c r="J112" s="1067"/>
      <c r="K112" s="1061" t="str">
        <f>IF(K101=$S$15,$T$13,IF(AND($O$3&lt;&gt;$U$3,ROUNDDOWN(K101,0)=$S$13),$U$13,$T$13))</f>
        <v>　レベル　4</v>
      </c>
      <c r="L112" s="1065" t="s">
        <v>2043</v>
      </c>
      <c r="M112" s="1066"/>
      <c r="N112" s="1066"/>
      <c r="O112" s="1067"/>
    </row>
    <row r="113" spans="2:15" ht="15.75">
      <c r="D113" s="1025"/>
      <c r="E113" s="1026"/>
      <c r="F113" s="1072" t="str">
        <f>IF(F101=$S$15,$T$14,IF(AND($O$3&lt;&gt;$U$3,ROUNDDOWN(F101,0)=$S$14),$U$14,$T$14))</f>
        <v>　レベル　5</v>
      </c>
      <c r="G113" s="1076" t="s">
        <v>2044</v>
      </c>
      <c r="H113" s="1077"/>
      <c r="I113" s="1077"/>
      <c r="J113" s="1078"/>
      <c r="K113" s="1072" t="str">
        <f>IF(K101=$S$15,$T$14,IF(AND($O$3&lt;&gt;$U$3,ROUNDDOWN(K101,0)=$S$14),$U$14,$T$14))</f>
        <v>　レベル　5</v>
      </c>
      <c r="L113" s="1076" t="s">
        <v>2432</v>
      </c>
      <c r="M113" s="1077"/>
      <c r="N113" s="1077"/>
      <c r="O113" s="1078"/>
    </row>
    <row r="114" spans="2:15" ht="15.75">
      <c r="D114" s="1025"/>
      <c r="E114" s="1026"/>
      <c r="F114" s="1026"/>
      <c r="G114" s="1115"/>
      <c r="H114" s="1115"/>
      <c r="I114" s="1115"/>
      <c r="J114" s="1115"/>
      <c r="K114" s="1115"/>
      <c r="L114" s="1170"/>
      <c r="M114" s="1170"/>
      <c r="N114" s="1170"/>
      <c r="O114" s="1170"/>
    </row>
    <row r="115" spans="2:15" ht="15.75">
      <c r="D115" s="2560"/>
      <c r="E115" s="1030"/>
      <c r="F115" s="1036" t="s">
        <v>2433</v>
      </c>
      <c r="G115" s="1116"/>
      <c r="H115" s="1165"/>
      <c r="I115" s="1145"/>
      <c r="J115" s="1119" t="str">
        <f>IF(OR(F117=0,AND(J116=0,O116=0)),$R$3,"")</f>
        <v>&lt;評価しない&gt;</v>
      </c>
      <c r="K115" s="1115"/>
      <c r="L115" s="1116"/>
      <c r="M115" s="1165"/>
      <c r="N115" s="1145"/>
      <c r="O115" s="1145"/>
    </row>
    <row r="116" spans="2:15" ht="16.5" thickBot="1">
      <c r="D116" s="1025"/>
      <c r="E116" s="1026"/>
      <c r="F116" s="1042" t="s">
        <v>1980</v>
      </c>
      <c r="G116" s="1043"/>
      <c r="H116" s="1044"/>
      <c r="I116" s="1045" t="s">
        <v>1484</v>
      </c>
      <c r="J116" s="1048">
        <f>重み!M18</f>
        <v>0</v>
      </c>
      <c r="K116" s="1042" t="s">
        <v>2123</v>
      </c>
      <c r="L116" s="1043"/>
      <c r="M116" s="1044"/>
      <c r="N116" s="1045" t="s">
        <v>1484</v>
      </c>
      <c r="O116" s="1048">
        <f>重み!N18</f>
        <v>0</v>
      </c>
    </row>
    <row r="117" spans="2:15" ht="16.5" thickBot="1">
      <c r="D117" s="1025"/>
      <c r="E117" s="1026"/>
      <c r="F117" s="1049">
        <v>3</v>
      </c>
      <c r="G117" s="1166" t="s">
        <v>2172</v>
      </c>
      <c r="H117" s="1054"/>
      <c r="I117" s="1054"/>
      <c r="J117" s="1055"/>
      <c r="K117" s="1049">
        <v>3</v>
      </c>
      <c r="L117" s="1166" t="s">
        <v>353</v>
      </c>
      <c r="M117" s="1054"/>
      <c r="N117" s="1054"/>
      <c r="O117" s="1055"/>
    </row>
    <row r="118" spans="2:15" ht="15.75" hidden="1">
      <c r="B118" s="1">
        <v>1</v>
      </c>
      <c r="C118" s="1">
        <v>1</v>
      </c>
      <c r="D118" s="1025"/>
      <c r="E118" s="1026"/>
      <c r="F118" s="1167"/>
      <c r="G118" s="1166" t="s">
        <v>1380</v>
      </c>
      <c r="H118" s="1054"/>
      <c r="I118" s="1054"/>
      <c r="J118" s="1055"/>
      <c r="K118" s="1167"/>
      <c r="L118" s="1166" t="s">
        <v>1380</v>
      </c>
      <c r="M118" s="1054"/>
      <c r="N118" s="1054"/>
      <c r="O118" s="1055"/>
    </row>
    <row r="119" spans="2:15" ht="15.75" hidden="1">
      <c r="B119" s="1">
        <v>2</v>
      </c>
      <c r="C119" s="1">
        <v>2</v>
      </c>
      <c r="D119" s="1025"/>
      <c r="E119" s="1026"/>
      <c r="F119" s="1061" t="str">
        <f>IF(F117=$S$15,$T$10,IF(AND($O$3=$U$3,ROUNDDOWN(F117,0)=$S$10),$U$10,$T$10))</f>
        <v>　レベル　1</v>
      </c>
      <c r="G119" s="1058" t="s">
        <v>2434</v>
      </c>
      <c r="H119" s="1059"/>
      <c r="I119" s="1059"/>
      <c r="J119" s="1060"/>
      <c r="K119" s="1061" t="str">
        <f>IF(K117=$S$15,$T$10,IF(AND($O$3=$U$3,ROUNDDOWN(K117,0)=$S$10),$U$10,$T$10))</f>
        <v>　レベル　1</v>
      </c>
      <c r="L119" s="1058" t="s">
        <v>2435</v>
      </c>
      <c r="M119" s="1059"/>
      <c r="N119" s="1059"/>
      <c r="O119" s="1060"/>
    </row>
    <row r="120" spans="2:15" ht="15.75" hidden="1">
      <c r="B120" s="1">
        <v>3</v>
      </c>
      <c r="C120" s="1">
        <v>3</v>
      </c>
      <c r="D120" s="1025"/>
      <c r="E120" s="1026"/>
      <c r="F120" s="1061" t="str">
        <f>IF(F117=$S$15,$T$11,IF(AND($O$3=$U$3,ROUNDDOWN(F117,0)=$S$11),$U$11,$T$11))</f>
        <v>　レベル　2</v>
      </c>
      <c r="G120" s="1065"/>
      <c r="H120" s="1066"/>
      <c r="I120" s="1066"/>
      <c r="J120" s="1067"/>
      <c r="K120" s="1061" t="str">
        <f>IF(K117=$S$15,$T$11,IF(AND($O$3=$U$3,ROUNDDOWN(K117,0)=$S$11),$U$11,$T$11))</f>
        <v>　レベル　2</v>
      </c>
      <c r="L120" s="1065"/>
      <c r="M120" s="1066"/>
      <c r="N120" s="1066"/>
      <c r="O120" s="1067"/>
    </row>
    <row r="121" spans="2:15" ht="15.75" hidden="1">
      <c r="B121" s="1">
        <v>4</v>
      </c>
      <c r="C121" s="1">
        <v>4</v>
      </c>
      <c r="D121" s="1025"/>
      <c r="E121" s="1026"/>
      <c r="F121" s="1061" t="str">
        <f>IF(F117=$S$15,$T$12,IF(AND($O$3=$U$3,ROUNDDOWN(F117,0)=$S$12),$U$12,$T$12))</f>
        <v>■レベル　3</v>
      </c>
      <c r="G121" s="1065" t="s">
        <v>2436</v>
      </c>
      <c r="H121" s="1066"/>
      <c r="I121" s="1066"/>
      <c r="J121" s="1067"/>
      <c r="K121" s="1061" t="str">
        <f>IF(K117=$S$15,$T$12,IF(AND($O$3=$U$3,ROUNDDOWN(K117,0)=$S$12),$U$12,$T$12))</f>
        <v>■レベル　3</v>
      </c>
      <c r="L121" s="1065" t="s">
        <v>2437</v>
      </c>
      <c r="M121" s="1066"/>
      <c r="N121" s="1066"/>
      <c r="O121" s="1067"/>
    </row>
    <row r="122" spans="2:15" ht="15.75" hidden="1">
      <c r="B122" s="1">
        <v>5</v>
      </c>
      <c r="C122" s="1">
        <v>5</v>
      </c>
      <c r="D122" s="1025"/>
      <c r="E122" s="1026"/>
      <c r="F122" s="1061" t="str">
        <f>IF(F117=$S$15,$T$13,IF(AND($O$3=$U$3,ROUNDDOWN(F117,0)=$S$13),$U$13,$T$13))</f>
        <v>　レベル　4</v>
      </c>
      <c r="G122" s="1065"/>
      <c r="H122" s="1066"/>
      <c r="I122" s="1066"/>
      <c r="J122" s="1067"/>
      <c r="K122" s="1061" t="str">
        <f>IF(K117=$S$15,$T$13,IF(AND($O$3=$U$3,ROUNDDOWN(K117,0)=$S$13),$U$13,$T$13))</f>
        <v>　レベル　4</v>
      </c>
      <c r="L122" s="1065"/>
      <c r="M122" s="1066"/>
      <c r="N122" s="1066"/>
      <c r="O122" s="1067"/>
    </row>
    <row r="123" spans="2:15" ht="15.75" hidden="1">
      <c r="B123" s="1079">
        <v>0</v>
      </c>
      <c r="C123" s="1079">
        <v>0</v>
      </c>
      <c r="D123" s="1025"/>
      <c r="E123" s="1026"/>
      <c r="F123" s="1072" t="str">
        <f>IF(F117=$S$15,$T$14,IF(AND($O$3=$U$3,ROUNDDOWN(F117,0)=$S$14),$U$14,$T$14))</f>
        <v>　レベル　5</v>
      </c>
      <c r="G123" s="1076" t="s">
        <v>2438</v>
      </c>
      <c r="H123" s="1077"/>
      <c r="I123" s="1077"/>
      <c r="J123" s="1078"/>
      <c r="K123" s="1072" t="str">
        <f>IF(K117=$S$15,$T$14,IF(AND($O$3=$U$3,ROUNDDOWN(K117,0)=$S$14),$U$14,$T$14))</f>
        <v>　レベル　5</v>
      </c>
      <c r="L123" s="1076" t="s">
        <v>2439</v>
      </c>
      <c r="M123" s="1077"/>
      <c r="N123" s="1077"/>
      <c r="O123" s="1078"/>
    </row>
    <row r="124" spans="2:15" ht="15.75" hidden="1">
      <c r="D124" s="1025"/>
      <c r="E124" s="1026"/>
      <c r="F124" s="1168"/>
      <c r="G124" s="1166" t="s">
        <v>1379</v>
      </c>
      <c r="H124" s="1054"/>
      <c r="I124" s="1054"/>
      <c r="J124" s="1055"/>
      <c r="K124" s="1168"/>
      <c r="L124" s="1166" t="s">
        <v>1379</v>
      </c>
      <c r="M124" s="1054"/>
      <c r="N124" s="1054"/>
      <c r="O124" s="1055"/>
    </row>
    <row r="125" spans="2:15" ht="15.75">
      <c r="D125" s="1025"/>
      <c r="E125" s="1026"/>
      <c r="F125" s="1169" t="str">
        <f>IF(F117=$S$15,$T$10,IF(AND($O$3&lt;&gt;$U$3,ROUNDDOWN(F117,0)=$S$10),$U$10,$T$10))</f>
        <v>　レベル　1</v>
      </c>
      <c r="G125" s="1058" t="s">
        <v>711</v>
      </c>
      <c r="H125" s="1059"/>
      <c r="I125" s="1059"/>
      <c r="J125" s="1060"/>
      <c r="K125" s="1169" t="str">
        <f>IF(K117=$S$15,$T$10,IF(AND($O$3&lt;&gt;$U$3,ROUNDDOWN(K117,0)=$S$10),$U$10,$T$10))</f>
        <v>　レベル　1</v>
      </c>
      <c r="L125" s="1058" t="s">
        <v>2440</v>
      </c>
      <c r="M125" s="1059"/>
      <c r="N125" s="1059"/>
      <c r="O125" s="1060"/>
    </row>
    <row r="126" spans="2:15" ht="15.75">
      <c r="D126" s="1025"/>
      <c r="E126" s="1026"/>
      <c r="F126" s="1061" t="str">
        <f>IF(F117=$S$15,$T$11,IF(AND($O$3&lt;&gt;$U$3,ROUNDDOWN(F117,0)=$S$11),$U$11,$T$11))</f>
        <v>　レベル　2</v>
      </c>
      <c r="G126" s="1065" t="s">
        <v>713</v>
      </c>
      <c r="H126" s="1066"/>
      <c r="I126" s="1066"/>
      <c r="J126" s="1067"/>
      <c r="K126" s="1061" t="str">
        <f>IF(K117=$S$15,$T$11,IF(AND($O$3&lt;&gt;$U$3,ROUNDDOWN(K117,0)=$S$11),$U$11,$T$11))</f>
        <v>　レベル　2</v>
      </c>
      <c r="L126" s="1065" t="s">
        <v>2041</v>
      </c>
      <c r="M126" s="1066"/>
      <c r="N126" s="1066"/>
      <c r="O126" s="1067"/>
    </row>
    <row r="127" spans="2:15" ht="15.75">
      <c r="D127" s="1025"/>
      <c r="E127" s="1026"/>
      <c r="F127" s="1061" t="str">
        <f>IF(F117=$S$15,$T$12,IF(AND($O$3&lt;&gt;$U$3,ROUNDDOWN(F117,0)=$S$12),$U$12,$T$12))</f>
        <v>　レベル　3</v>
      </c>
      <c r="G127" s="1065" t="s">
        <v>2041</v>
      </c>
      <c r="H127" s="1066"/>
      <c r="I127" s="1066"/>
      <c r="J127" s="1067"/>
      <c r="K127" s="1061" t="str">
        <f>IF(K117=$S$15,$T$12,IF(AND($O$3&lt;&gt;$U$3,ROUNDDOWN(K117,0)=$S$12),$U$12,$T$12))</f>
        <v>　レベル　3</v>
      </c>
      <c r="L127" s="1065" t="s">
        <v>2040</v>
      </c>
      <c r="M127" s="1066"/>
      <c r="N127" s="1066"/>
      <c r="O127" s="1067"/>
    </row>
    <row r="128" spans="2:15" ht="15.75">
      <c r="D128" s="1025"/>
      <c r="E128" s="1026"/>
      <c r="F128" s="1061" t="str">
        <f>IF(F117=$S$15,$T$13,IF(AND($O$3&lt;&gt;$U$3,ROUNDDOWN(F117,0)=$S$13),$U$13,$T$13))</f>
        <v>　レベル　4</v>
      </c>
      <c r="G128" s="1065" t="s">
        <v>2040</v>
      </c>
      <c r="H128" s="1066"/>
      <c r="I128" s="1066"/>
      <c r="J128" s="1067"/>
      <c r="K128" s="1061" t="str">
        <f>IF(K117=$S$15,$T$13,IF(AND($O$3&lt;&gt;$U$3,ROUNDDOWN(K117,0)=$S$13),$U$13,$T$13))</f>
        <v>　レベル　4</v>
      </c>
      <c r="L128" s="1065" t="s">
        <v>2042</v>
      </c>
      <c r="M128" s="1066"/>
      <c r="N128" s="1066"/>
      <c r="O128" s="1067"/>
    </row>
    <row r="129" spans="2:15" ht="15.75">
      <c r="D129" s="1025"/>
      <c r="E129" s="1026"/>
      <c r="F129" s="1072" t="str">
        <f>IF(F117=$S$15,$T$14,IF(AND($O$3&lt;&gt;$U$3,ROUNDDOWN(F117,0)=$S$14),$U$14,$T$14))</f>
        <v>　レベル　5</v>
      </c>
      <c r="G129" s="1076" t="s">
        <v>2044</v>
      </c>
      <c r="H129" s="1077"/>
      <c r="I129" s="1077"/>
      <c r="J129" s="1078"/>
      <c r="K129" s="1072" t="str">
        <f>IF(K117=$S$15,$T$14,IF(AND($O$3&lt;&gt;$U$3,ROUNDDOWN(K117,0)=$S$14),$U$14,$T$14))</f>
        <v>　レベル　5</v>
      </c>
      <c r="L129" s="1076" t="s">
        <v>2441</v>
      </c>
      <c r="M129" s="1077"/>
      <c r="N129" s="1077"/>
      <c r="O129" s="1078"/>
    </row>
    <row r="130" spans="2:15" ht="15.75">
      <c r="D130" s="1025"/>
      <c r="E130" s="1026"/>
      <c r="F130" s="1026"/>
      <c r="G130" s="1180"/>
      <c r="H130" s="1115"/>
      <c r="I130" s="1115"/>
      <c r="J130" s="1115"/>
      <c r="K130" s="1115"/>
      <c r="L130" s="1170"/>
      <c r="M130" s="1170"/>
      <c r="N130" s="1170"/>
      <c r="O130" s="1170"/>
    </row>
    <row r="131" spans="2:15" ht="15.75">
      <c r="D131" s="1465">
        <v>1.3</v>
      </c>
      <c r="E131" s="1032" t="s">
        <v>2173</v>
      </c>
      <c r="F131" s="1036"/>
      <c r="G131" s="1116"/>
      <c r="H131" s="1165"/>
      <c r="I131" s="1145"/>
      <c r="J131" s="1119" t="str">
        <f>IF(OR(F133=0,AND(J132=0,O132=0)),$R$3,"")</f>
        <v/>
      </c>
      <c r="K131" s="1115"/>
      <c r="L131" s="1116"/>
      <c r="M131" s="1165"/>
      <c r="N131" s="1145"/>
      <c r="O131" s="1145"/>
    </row>
    <row r="132" spans="2:15" ht="16.5" thickBot="1">
      <c r="D132" s="1025"/>
      <c r="E132" s="1021"/>
      <c r="F132" s="1042" t="s">
        <v>2122</v>
      </c>
      <c r="G132" s="1043"/>
      <c r="H132" s="1044"/>
      <c r="I132" s="1045" t="s">
        <v>1484</v>
      </c>
      <c r="J132" s="1048">
        <f>重み!M19</f>
        <v>0.2</v>
      </c>
      <c r="K132" s="1042" t="s">
        <v>2123</v>
      </c>
      <c r="L132" s="1043"/>
      <c r="M132" s="1044"/>
      <c r="N132" s="1045" t="s">
        <v>1484</v>
      </c>
      <c r="O132" s="1048">
        <f>重み!N19</f>
        <v>0</v>
      </c>
    </row>
    <row r="133" spans="2:15" ht="16.5" thickBot="1">
      <c r="D133" s="1025"/>
      <c r="E133" s="1021"/>
      <c r="F133" s="1049">
        <v>3</v>
      </c>
      <c r="G133" s="1053" t="s">
        <v>2175</v>
      </c>
      <c r="H133" s="1054"/>
      <c r="I133" s="1054"/>
      <c r="J133" s="1055"/>
      <c r="K133" s="1049">
        <v>3</v>
      </c>
      <c r="L133" s="1053" t="s">
        <v>2442</v>
      </c>
      <c r="M133" s="1054"/>
      <c r="N133" s="1054"/>
      <c r="O133" s="1055"/>
    </row>
    <row r="134" spans="2:15" ht="15.75">
      <c r="B134" s="1">
        <v>1</v>
      </c>
      <c r="C134" s="1">
        <v>1</v>
      </c>
      <c r="D134" s="1025"/>
      <c r="E134" s="1021"/>
      <c r="F134" s="1056" t="str">
        <f>IF(F133=$S$15,$T$10,IF(ROUNDDOWN(F133,0)=$S$10,$U$10,$T$10))</f>
        <v>　レベル　1</v>
      </c>
      <c r="G134" s="1058" t="s">
        <v>2176</v>
      </c>
      <c r="H134" s="1059"/>
      <c r="I134" s="1059"/>
      <c r="J134" s="1060"/>
      <c r="K134" s="1056" t="str">
        <f>IF(K133=$S$15,$T$10,IF(ROUNDDOWN(K133,0)=$S$10,$U$10,$T$10))</f>
        <v>　レベル　1</v>
      </c>
      <c r="L134" s="1058" t="s">
        <v>2176</v>
      </c>
      <c r="M134" s="1059"/>
      <c r="N134" s="1059"/>
      <c r="O134" s="1060"/>
    </row>
    <row r="135" spans="2:15" ht="15.75">
      <c r="B135" s="1" t="s">
        <v>2364</v>
      </c>
      <c r="C135" s="1" t="s">
        <v>2364</v>
      </c>
      <c r="D135" s="1025"/>
      <c r="E135" s="1021"/>
      <c r="F135" s="1061" t="str">
        <f>IF(F133=$S$15,$T$11,IF(ROUNDDOWN(F133,0)=$S$11,$U$11,$T$11))</f>
        <v>　レベル　2</v>
      </c>
      <c r="G135" s="1065" t="s">
        <v>387</v>
      </c>
      <c r="H135" s="1066"/>
      <c r="I135" s="1066"/>
      <c r="J135" s="1067"/>
      <c r="K135" s="1061" t="str">
        <f>IF(K133=$S$15,$T$11,IF(ROUNDDOWN(K133,0)=$S$11,$U$11,$T$11))</f>
        <v>　レベル　2</v>
      </c>
      <c r="L135" s="1065" t="s">
        <v>387</v>
      </c>
      <c r="M135" s="1066"/>
      <c r="N135" s="1066"/>
      <c r="O135" s="1067"/>
    </row>
    <row r="136" spans="2:15" ht="15.75">
      <c r="B136" s="1">
        <v>3</v>
      </c>
      <c r="C136" s="1">
        <v>3</v>
      </c>
      <c r="D136" s="1025"/>
      <c r="E136" s="1021"/>
      <c r="F136" s="1061" t="str">
        <f>IF(F133=$S$15,$T$12,IF(ROUNDDOWN(F133,0)=$S$12,$U$12,$T$12))</f>
        <v>■レベル　3</v>
      </c>
      <c r="G136" s="1065" t="s">
        <v>2177</v>
      </c>
      <c r="H136" s="1066"/>
      <c r="I136" s="1066"/>
      <c r="J136" s="1067"/>
      <c r="K136" s="1061" t="str">
        <f>IF(K133=$S$15,$T$12,IF(ROUNDDOWN(K133,0)=$S$12,$U$12,$T$12))</f>
        <v>■レベル　3</v>
      </c>
      <c r="L136" s="1065" t="s">
        <v>2177</v>
      </c>
      <c r="M136" s="1066"/>
      <c r="N136" s="1066"/>
      <c r="O136" s="1067"/>
    </row>
    <row r="137" spans="2:15" ht="15.75">
      <c r="B137" s="1">
        <v>4</v>
      </c>
      <c r="C137" s="1">
        <v>4</v>
      </c>
      <c r="D137" s="1025"/>
      <c r="E137" s="1021"/>
      <c r="F137" s="1061" t="str">
        <f>IF(F133=$S$15,$T$13,IF(ROUNDDOWN(F133,0)=$S$13,$U$13,$T$13))</f>
        <v>　レベル　4</v>
      </c>
      <c r="G137" s="1065" t="s">
        <v>2443</v>
      </c>
      <c r="H137" s="1066"/>
      <c r="I137" s="1066"/>
      <c r="J137" s="1067"/>
      <c r="K137" s="1061" t="str">
        <f>IF(K133=$S$15,$T$13,IF(ROUNDDOWN(K133,0)=$S$13,$U$13,$T$13))</f>
        <v>　レベル　4</v>
      </c>
      <c r="L137" s="1065" t="s">
        <v>2443</v>
      </c>
      <c r="M137" s="1066"/>
      <c r="N137" s="1066"/>
      <c r="O137" s="1067"/>
    </row>
    <row r="138" spans="2:15" ht="15.75">
      <c r="B138" s="1">
        <v>5</v>
      </c>
      <c r="C138" s="1">
        <v>5</v>
      </c>
      <c r="D138" s="1025"/>
      <c r="E138" s="1021"/>
      <c r="F138" s="1072" t="str">
        <f>IF(F133=$S$15,$T$14,IF(ROUNDDOWN(F133,0)=$S$14,$U$14,$T$14))</f>
        <v>　レベル　5</v>
      </c>
      <c r="G138" s="1076" t="s">
        <v>2444</v>
      </c>
      <c r="H138" s="1077"/>
      <c r="I138" s="1077"/>
      <c r="J138" s="1078"/>
      <c r="K138" s="1072" t="str">
        <f>IF(K133=$S$15,$T$14,IF(ROUNDDOWN(K133,0)=$S$14,$U$14,$T$14))</f>
        <v>　レベル　5</v>
      </c>
      <c r="L138" s="1076" t="s">
        <v>2444</v>
      </c>
      <c r="M138" s="1077"/>
      <c r="N138" s="1077"/>
      <c r="O138" s="1078"/>
    </row>
    <row r="139" spans="2:15" ht="15.75">
      <c r="B139" s="1079">
        <v>0</v>
      </c>
      <c r="C139" s="1079">
        <v>0</v>
      </c>
      <c r="D139" s="1025"/>
      <c r="E139" s="1026"/>
      <c r="F139" s="1181"/>
      <c r="G139" s="1182"/>
      <c r="H139" s="1182"/>
      <c r="I139" s="1182"/>
      <c r="J139" s="1182"/>
      <c r="K139" s="1182"/>
      <c r="L139" s="1115"/>
      <c r="M139" s="1115"/>
      <c r="N139" s="1115"/>
      <c r="O139" s="1183"/>
    </row>
    <row r="140" spans="2:15" ht="15.75">
      <c r="D140" s="1465">
        <v>2</v>
      </c>
      <c r="E140" s="1162" t="s">
        <v>2178</v>
      </c>
      <c r="F140" s="1033"/>
      <c r="G140" s="1164"/>
      <c r="H140" s="1164"/>
      <c r="I140" s="1164"/>
      <c r="J140" s="1164"/>
      <c r="K140" s="1164"/>
      <c r="L140" s="1164"/>
      <c r="M140" s="1164"/>
      <c r="N140" s="1164"/>
      <c r="O140" s="1164"/>
    </row>
    <row r="141" spans="2:15" ht="15.75">
      <c r="D141" s="1465">
        <v>2.1</v>
      </c>
      <c r="E141" s="1162" t="s">
        <v>2179</v>
      </c>
      <c r="F141" s="1033"/>
      <c r="G141" s="1163"/>
      <c r="H141" s="1163"/>
      <c r="I141" s="1164"/>
      <c r="J141" s="1164"/>
      <c r="K141" s="1164"/>
      <c r="L141" s="1164"/>
      <c r="M141" s="1163"/>
      <c r="N141" s="1164"/>
      <c r="O141" s="1164"/>
    </row>
    <row r="142" spans="2:15" ht="15.75">
      <c r="D142" s="1025"/>
      <c r="E142" s="1030"/>
      <c r="F142" s="1184" t="s">
        <v>1005</v>
      </c>
      <c r="G142" s="1116"/>
      <c r="H142" s="1116"/>
      <c r="I142" s="1165"/>
      <c r="J142" s="1119" t="str">
        <f>IF(OR(F144=0,AND(J143=0,O143=0)),$R$3,"")</f>
        <v/>
      </c>
      <c r="K142" s="1145"/>
      <c r="L142" s="1145"/>
      <c r="M142" s="1115"/>
      <c r="N142" s="1145"/>
      <c r="O142" s="1145"/>
    </row>
    <row r="143" spans="2:15" ht="16.5" thickBot="1">
      <c r="D143" s="1025"/>
      <c r="E143" s="1030"/>
      <c r="F143" s="1185" t="s">
        <v>2445</v>
      </c>
      <c r="G143" s="1186"/>
      <c r="H143" s="1187"/>
      <c r="I143" s="1045" t="s">
        <v>1484</v>
      </c>
      <c r="J143" s="1043">
        <f>重み!M22</f>
        <v>0.3</v>
      </c>
      <c r="K143" s="1186"/>
      <c r="L143" s="1188"/>
      <c r="M143" s="1189" t="s">
        <v>2180</v>
      </c>
      <c r="N143" s="1045" t="s">
        <v>1484</v>
      </c>
      <c r="O143" s="1047">
        <f>重み!N22</f>
        <v>0</v>
      </c>
    </row>
    <row r="144" spans="2:15" ht="16.5" thickBot="1">
      <c r="D144" s="1025"/>
      <c r="E144" s="1030"/>
      <c r="F144" s="1049">
        <v>3</v>
      </c>
      <c r="G144" s="1171" t="s">
        <v>2446</v>
      </c>
      <c r="H144" s="1171" t="s">
        <v>2181</v>
      </c>
      <c r="I144" s="1171" t="s">
        <v>2182</v>
      </c>
      <c r="J144" s="1190" t="s">
        <v>2447</v>
      </c>
      <c r="K144" s="1190" t="s">
        <v>2183</v>
      </c>
      <c r="L144" s="1191" t="s">
        <v>2448</v>
      </c>
      <c r="M144" s="1049">
        <v>3</v>
      </c>
      <c r="N144" s="1166" t="s">
        <v>2903</v>
      </c>
      <c r="O144" s="1192" t="s">
        <v>2449</v>
      </c>
    </row>
    <row r="145" spans="2:15" ht="15.75" hidden="1">
      <c r="B145" s="1">
        <v>1</v>
      </c>
      <c r="C145" s="1">
        <v>1</v>
      </c>
      <c r="D145" s="1025"/>
      <c r="E145" s="1030"/>
      <c r="F145" s="1167"/>
      <c r="G145" s="1166" t="s">
        <v>1380</v>
      </c>
      <c r="H145" s="1054"/>
      <c r="I145" s="1054"/>
      <c r="J145" s="1054"/>
      <c r="K145" s="1054"/>
      <c r="L145" s="1054"/>
      <c r="M145" s="1167"/>
      <c r="N145" s="1054" t="s">
        <v>1380</v>
      </c>
      <c r="O145" s="1193"/>
    </row>
    <row r="146" spans="2:15" ht="45" hidden="1" customHeight="1">
      <c r="B146" s="1">
        <v>2</v>
      </c>
      <c r="C146" s="1">
        <v>2</v>
      </c>
      <c r="D146" s="1025"/>
      <c r="E146" s="1030"/>
      <c r="F146" s="1061" t="str">
        <f>IF(F144=$S$15,$T$10,IF(AND($O$3=$U$3,ROUNDDOWN(F144,0)=$S$10),$U$10,$T$10))</f>
        <v>　レベル　1</v>
      </c>
      <c r="G146" s="1194" t="s">
        <v>2184</v>
      </c>
      <c r="H146" s="1057" t="s">
        <v>2450</v>
      </c>
      <c r="I146" s="1057" t="s">
        <v>456</v>
      </c>
      <c r="J146" s="1057" t="s">
        <v>2451</v>
      </c>
      <c r="K146" s="1065" t="s">
        <v>2365</v>
      </c>
      <c r="L146" s="1057" t="s">
        <v>2452</v>
      </c>
      <c r="M146" s="1061" t="str">
        <f>IF(M144=$S$15,$T$10,IF(AND($O$3=$U$3,ROUNDDOWN(M144,0)=$S$10),$U$10,$T$10))</f>
        <v>　レベル　1</v>
      </c>
      <c r="N146" s="1123" t="s">
        <v>2450</v>
      </c>
      <c r="O146" s="1195" t="s">
        <v>2453</v>
      </c>
    </row>
    <row r="147" spans="2:15" ht="33.75" hidden="1" customHeight="1">
      <c r="B147" s="1">
        <v>3</v>
      </c>
      <c r="C147" s="1">
        <v>3</v>
      </c>
      <c r="D147" s="1025"/>
      <c r="E147" s="1030"/>
      <c r="F147" s="1061" t="str">
        <f>IF(F144=$S$15,$T$11,IF(AND($O$3=$U$3,ROUNDDOWN(F144,0)=$S$11),$U$11,$T$11))</f>
        <v>　レベル　2</v>
      </c>
      <c r="G147" s="1069" t="s">
        <v>458</v>
      </c>
      <c r="H147" s="1069"/>
      <c r="I147" s="1069"/>
      <c r="J147" s="1069"/>
      <c r="K147" s="1065" t="s">
        <v>2365</v>
      </c>
      <c r="L147" s="1069"/>
      <c r="M147" s="1061" t="str">
        <f>IF(M144=$S$15,$T$11,IF(AND($O$3=$U$3,ROUNDDOWN(M144,0)=$S$11),$U$11,$T$11))</f>
        <v>　レベル　2</v>
      </c>
      <c r="N147" s="1196"/>
      <c r="O147" s="1197"/>
    </row>
    <row r="148" spans="2:15" ht="45" hidden="1" customHeight="1">
      <c r="B148" s="1">
        <v>4</v>
      </c>
      <c r="C148" s="1">
        <v>4</v>
      </c>
      <c r="D148" s="1025"/>
      <c r="E148" s="1030"/>
      <c r="F148" s="1061" t="str">
        <f>IF(F144=$S$15,$T$12,IF(AND($O$3=$U$3,ROUNDDOWN(F144,0)=$S$12),$U$12,$T$12))</f>
        <v>■レベル　3</v>
      </c>
      <c r="G148" s="1064" t="s">
        <v>2454</v>
      </c>
      <c r="H148" s="1064" t="s">
        <v>2454</v>
      </c>
      <c r="I148" s="1064" t="s">
        <v>1911</v>
      </c>
      <c r="J148" s="1068" t="s">
        <v>1912</v>
      </c>
      <c r="K148" s="1068" t="s">
        <v>1148</v>
      </c>
      <c r="L148" s="1064" t="s">
        <v>442</v>
      </c>
      <c r="M148" s="1061" t="str">
        <f>IF(M144=$S$15,$T$12,IF(AND($O$3=$U$3,ROUNDDOWN(M144,0)=$S$12),$U$12,$T$12))</f>
        <v>■レベル　3</v>
      </c>
      <c r="N148" s="1069" t="s">
        <v>2454</v>
      </c>
      <c r="O148" s="1070" t="s">
        <v>443</v>
      </c>
    </row>
    <row r="149" spans="2:15" ht="33.75" hidden="1" customHeight="1">
      <c r="B149" s="1">
        <v>5</v>
      </c>
      <c r="C149" s="1">
        <v>5</v>
      </c>
      <c r="D149" s="1025"/>
      <c r="E149" s="1030"/>
      <c r="F149" s="1061" t="str">
        <f>IF(F144=$S$15,$T$13,IF(AND($O$3=$U$3,ROUNDDOWN(F144,0)=$S$13),$U$13,$T$13))</f>
        <v>　レベル　4</v>
      </c>
      <c r="G149" s="1069"/>
      <c r="H149" s="1069"/>
      <c r="I149" s="1069"/>
      <c r="J149" s="1070"/>
      <c r="K149" s="1070" t="s">
        <v>617</v>
      </c>
      <c r="L149" s="1069"/>
      <c r="M149" s="1061" t="str">
        <f>IF(M144=$S$15,$T$13,IF(AND($O$3=$U$3,ROUNDDOWN(M144,0)=$S$13),$U$13,$T$13))</f>
        <v>　レベル　4</v>
      </c>
      <c r="N149" s="1069"/>
      <c r="O149" s="1070"/>
    </row>
    <row r="150" spans="2:15" ht="67.5" hidden="1" customHeight="1">
      <c r="B150" s="1079">
        <v>0</v>
      </c>
      <c r="C150" s="1079">
        <v>0</v>
      </c>
      <c r="D150" s="1025"/>
      <c r="E150" s="1030"/>
      <c r="F150" s="1072" t="str">
        <f>IF(F144=$S$15,$T$14,IF(AND($O$3=$U$3,ROUNDDOWN(F144,0)=$S$14),$U$14,$T$14))</f>
        <v>　レベル　5</v>
      </c>
      <c r="G150" s="2925" t="s">
        <v>444</v>
      </c>
      <c r="H150" s="2926"/>
      <c r="I150" s="2926"/>
      <c r="J150" s="2927"/>
      <c r="K150" s="1074" t="s">
        <v>618</v>
      </c>
      <c r="L150" s="1073" t="s">
        <v>622</v>
      </c>
      <c r="M150" s="1072" t="str">
        <f>IF(M144=$S$15,$T$14,IF(AND($O$3=$U$3,ROUNDDOWN(M144,0)=$S$14),$U$14,$T$14))</f>
        <v>　レベル　5</v>
      </c>
      <c r="N150" s="1073" t="s">
        <v>444</v>
      </c>
      <c r="O150" s="1074" t="s">
        <v>445</v>
      </c>
    </row>
    <row r="151" spans="2:15" ht="15.75" hidden="1">
      <c r="D151" s="1025"/>
      <c r="E151" s="1030"/>
      <c r="F151" s="1168"/>
      <c r="G151" s="1166" t="s">
        <v>1379</v>
      </c>
      <c r="H151" s="1054"/>
      <c r="I151" s="1187"/>
      <c r="J151" s="1187"/>
      <c r="K151" s="1187"/>
      <c r="L151" s="1187"/>
      <c r="M151" s="1168"/>
      <c r="N151" s="1166" t="s">
        <v>1379</v>
      </c>
      <c r="O151" s="1193"/>
    </row>
    <row r="152" spans="2:15" ht="82.5" customHeight="1">
      <c r="D152" s="1025"/>
      <c r="E152" s="1030"/>
      <c r="F152" s="1169" t="str">
        <f>IF(F144=$S$15,$T$10,IF(AND($O$3&lt;&gt;$U$3,ROUNDDOWN(F144,0)=$S$10),$U$10,$T$10))</f>
        <v>　レベル　1</v>
      </c>
      <c r="G152" s="1194" t="s">
        <v>2184</v>
      </c>
      <c r="H152" s="1057" t="s">
        <v>2695</v>
      </c>
      <c r="I152" s="1057" t="s">
        <v>446</v>
      </c>
      <c r="J152" s="1057" t="s">
        <v>2696</v>
      </c>
      <c r="K152" s="1065" t="s">
        <v>2365</v>
      </c>
      <c r="L152" s="1057" t="s">
        <v>2697</v>
      </c>
      <c r="M152" s="1169" t="str">
        <f>IF(M144=$S$15,$T$10,IF(AND($O$3&lt;&gt;$U$3,ROUNDDOWN(M144,0)=$S$10),$U$10,$T$10))</f>
        <v>　レベル　1</v>
      </c>
      <c r="N152" s="1123" t="s">
        <v>2695</v>
      </c>
      <c r="O152" s="1195" t="s">
        <v>2697</v>
      </c>
    </row>
    <row r="153" spans="2:15" ht="82.5" customHeight="1">
      <c r="D153" s="1025"/>
      <c r="E153" s="1030"/>
      <c r="F153" s="1061" t="str">
        <f>IF(F144=$S$15,$T$11,IF(AND($O$3&lt;&gt;$U$3,ROUNDDOWN(F144,0)=$S$11),$U$11,$T$11))</f>
        <v>　レベル　2</v>
      </c>
      <c r="G153" s="1069" t="s">
        <v>447</v>
      </c>
      <c r="H153" s="1069"/>
      <c r="I153" s="1069"/>
      <c r="J153" s="1069"/>
      <c r="K153" s="1065" t="s">
        <v>2365</v>
      </c>
      <c r="L153" s="1069"/>
      <c r="M153" s="1061" t="str">
        <f>IF(M144=$S$15,$T$11,IF(AND($O$3&lt;&gt;$U$3,ROUNDDOWN(M144,0)=$S$11),$U$11,$T$11))</f>
        <v>　レベル　2</v>
      </c>
      <c r="N153" s="1196"/>
      <c r="O153" s="1197"/>
    </row>
    <row r="154" spans="2:15" ht="82.5" customHeight="1">
      <c r="D154" s="1025"/>
      <c r="E154" s="1030"/>
      <c r="F154" s="1061" t="str">
        <f>IF(F144=$S$15,$T$12,IF(AND($O$3&lt;&gt;$U$3,ROUNDDOWN(F144,0)=$S$12),$U$12,$T$12))</f>
        <v>　レベル　3</v>
      </c>
      <c r="G154" s="1064" t="s">
        <v>448</v>
      </c>
      <c r="H154" s="1064" t="s">
        <v>2698</v>
      </c>
      <c r="I154" s="1064" t="s">
        <v>449</v>
      </c>
      <c r="J154" s="1068" t="s">
        <v>450</v>
      </c>
      <c r="K154" s="1068" t="s">
        <v>1008</v>
      </c>
      <c r="L154" s="1064" t="s">
        <v>2699</v>
      </c>
      <c r="M154" s="1061" t="str">
        <f>IF(M144=$S$15,$T$12,IF(AND($O$3&lt;&gt;$U$3,ROUNDDOWN(M144,0)=$S$12),$U$12,$T$12))</f>
        <v>　レベル　3</v>
      </c>
      <c r="N154" s="2900" t="s">
        <v>448</v>
      </c>
      <c r="O154" s="2901"/>
    </row>
    <row r="155" spans="2:15" ht="63" customHeight="1">
      <c r="D155" s="1025"/>
      <c r="E155" s="1030"/>
      <c r="F155" s="1061" t="str">
        <f>IF(F144=$S$15,$T$13,IF(AND($O$3&lt;&gt;$U$3,ROUNDDOWN(F144,0)=$S$13),$U$13,$T$13))</f>
        <v>　レベル　4</v>
      </c>
      <c r="G155" s="1069"/>
      <c r="H155" s="1069"/>
      <c r="I155" s="1069"/>
      <c r="J155" s="1070"/>
      <c r="K155" s="1070" t="s">
        <v>619</v>
      </c>
      <c r="L155" s="1069"/>
      <c r="M155" s="1061" t="str">
        <f>IF(M144=$S$15,$T$13,IF(AND($O$3&lt;&gt;$U$3,ROUNDDOWN(M144,0)=$S$13),$U$13,$T$13))</f>
        <v>　レベル　4</v>
      </c>
      <c r="N155" s="2900"/>
      <c r="O155" s="2901"/>
    </row>
    <row r="156" spans="2:15" ht="72" customHeight="1">
      <c r="D156" s="1025"/>
      <c r="E156" s="1030"/>
      <c r="F156" s="1072" t="str">
        <f>IF(F144=$S$15,$T$14,IF(AND($O$3&lt;&gt;$U$3,ROUNDDOWN(F144,0)=$S$14),$U$14,$T$14))</f>
        <v>　レベル　5</v>
      </c>
      <c r="G156" s="2898" t="s">
        <v>1902</v>
      </c>
      <c r="H156" s="2922"/>
      <c r="I156" s="2922"/>
      <c r="J156" s="2928"/>
      <c r="K156" s="1073" t="s">
        <v>621</v>
      </c>
      <c r="L156" s="1073" t="s">
        <v>620</v>
      </c>
      <c r="M156" s="1072" t="str">
        <f>IF(M144=$S$15,$T$14,IF(AND($O$3&lt;&gt;$U$3,ROUNDDOWN(M144,0)=$S$14),$U$14,$T$14))</f>
        <v>　レベル　5</v>
      </c>
      <c r="N156" s="2898" t="s">
        <v>1902</v>
      </c>
      <c r="O156" s="2899"/>
    </row>
    <row r="157" spans="2:15" ht="15.75" hidden="1">
      <c r="D157" s="1025"/>
      <c r="E157" s="1030"/>
      <c r="F157" s="1030"/>
      <c r="G157" s="1170"/>
      <c r="H157" s="1170"/>
      <c r="I157" s="1170"/>
      <c r="J157" s="1170"/>
      <c r="K157" s="1170"/>
      <c r="L157" s="1170"/>
      <c r="M157" s="1170"/>
      <c r="N157" s="1170"/>
      <c r="O157" s="1170"/>
    </row>
    <row r="158" spans="2:15" ht="15.75" hidden="1">
      <c r="D158" s="1025"/>
      <c r="E158" s="1030"/>
      <c r="F158" s="2509" t="s">
        <v>2700</v>
      </c>
      <c r="G158" s="1116"/>
      <c r="H158" s="1165"/>
      <c r="I158" s="1145"/>
      <c r="J158" s="1119" t="str">
        <f>IF(OR(F160=0,J159=0),$R$3,"")</f>
        <v>&lt;評価しない&gt;</v>
      </c>
      <c r="K158" s="1170"/>
      <c r="L158" s="1170"/>
      <c r="M158" s="1170"/>
      <c r="N158" s="1170"/>
      <c r="O158" s="1170"/>
    </row>
    <row r="159" spans="2:15" ht="15.75" hidden="1">
      <c r="D159" s="1025"/>
      <c r="E159" s="1030"/>
      <c r="F159" s="1042" t="s">
        <v>1903</v>
      </c>
      <c r="G159" s="1043"/>
      <c r="H159" s="1044"/>
      <c r="I159" s="1045" t="s">
        <v>1484</v>
      </c>
      <c r="J159" s="1048">
        <f>重み!M23</f>
        <v>0</v>
      </c>
      <c r="K159" s="1170"/>
      <c r="L159" s="1170"/>
      <c r="M159" s="1170"/>
      <c r="N159" s="1170"/>
      <c r="O159" s="1170"/>
    </row>
    <row r="160" spans="2:15" ht="16.5" hidden="1" thickBot="1">
      <c r="D160" s="1025"/>
      <c r="E160" s="1030"/>
      <c r="F160" s="1049">
        <v>0</v>
      </c>
      <c r="G160" s="1053" t="s">
        <v>2701</v>
      </c>
      <c r="H160" s="1054"/>
      <c r="I160" s="1054"/>
      <c r="J160" s="1055"/>
      <c r="K160" s="1170"/>
      <c r="L160" s="1170"/>
      <c r="M160" s="1170"/>
      <c r="N160" s="1170"/>
      <c r="O160" s="1170"/>
    </row>
    <row r="161" spans="2:15" ht="15.75" hidden="1">
      <c r="B161" s="1">
        <v>1</v>
      </c>
      <c r="C161" s="1">
        <v>1</v>
      </c>
      <c r="D161" s="1025"/>
      <c r="E161" s="1030"/>
      <c r="F161" s="1056" t="str">
        <f>IF(F160=$S$15,$T$10,IF(ROUNDDOWN(F160,0)=$S$10,$U$10,$T$10))</f>
        <v>　レベル　1</v>
      </c>
      <c r="G161" s="1058" t="s">
        <v>2702</v>
      </c>
      <c r="H161" s="1059"/>
      <c r="I161" s="1059"/>
      <c r="J161" s="1060"/>
      <c r="K161" s="1170"/>
      <c r="L161" s="1170"/>
      <c r="M161" s="1170"/>
      <c r="N161" s="1170"/>
      <c r="O161" s="1170"/>
    </row>
    <row r="162" spans="2:15" ht="15.75" hidden="1">
      <c r="B162" s="1">
        <v>2</v>
      </c>
      <c r="C162" s="1">
        <v>2</v>
      </c>
      <c r="D162" s="1025"/>
      <c r="E162" s="1030"/>
      <c r="F162" s="1061" t="str">
        <f>IF(F160=$S$15,$T$11,IF(ROUNDDOWN(F160,0)=$S$11,$U$11,$T$11))</f>
        <v>　レベル　2</v>
      </c>
      <c r="G162" s="1065"/>
      <c r="H162" s="1066"/>
      <c r="I162" s="1066"/>
      <c r="J162" s="1067"/>
      <c r="K162" s="1170"/>
      <c r="L162" s="1170"/>
      <c r="M162" s="1170"/>
      <c r="N162" s="1170"/>
      <c r="O162" s="1170"/>
    </row>
    <row r="163" spans="2:15" ht="15.75" hidden="1">
      <c r="B163" s="1">
        <v>3</v>
      </c>
      <c r="C163" s="1">
        <v>3</v>
      </c>
      <c r="D163" s="1025"/>
      <c r="E163" s="1030"/>
      <c r="F163" s="1061" t="str">
        <f>IF(F160=$S$15,$T$12,IF(ROUNDDOWN(F160,0)=$S$12,$U$12,$T$12))</f>
        <v>　レベル　3</v>
      </c>
      <c r="G163" s="1065" t="s">
        <v>2703</v>
      </c>
      <c r="H163" s="1066"/>
      <c r="I163" s="1066"/>
      <c r="J163" s="1067"/>
      <c r="K163" s="1170"/>
      <c r="L163" s="1170"/>
      <c r="M163" s="1170"/>
      <c r="N163" s="1170"/>
      <c r="O163" s="1170"/>
    </row>
    <row r="164" spans="2:15" ht="15.75" hidden="1">
      <c r="B164" s="1">
        <v>4</v>
      </c>
      <c r="C164" s="1">
        <v>4</v>
      </c>
      <c r="D164" s="1025"/>
      <c r="E164" s="1030"/>
      <c r="F164" s="1061" t="str">
        <f>IF(F160=$S$15,$T$13,IF(ROUNDDOWN(F160,0)=$S$13,$U$13,$T$13))</f>
        <v>　レベル　4</v>
      </c>
      <c r="G164" s="1065"/>
      <c r="H164" s="1066"/>
      <c r="I164" s="1066"/>
      <c r="J164" s="1067"/>
      <c r="K164" s="1170"/>
      <c r="L164" s="1170"/>
      <c r="M164" s="1170"/>
      <c r="N164" s="1170"/>
      <c r="O164" s="1170"/>
    </row>
    <row r="165" spans="2:15" ht="15.75" hidden="1">
      <c r="B165" s="1">
        <v>5</v>
      </c>
      <c r="C165" s="1">
        <v>5</v>
      </c>
      <c r="D165" s="1025"/>
      <c r="E165" s="1030"/>
      <c r="F165" s="1072" t="str">
        <f>IF(F160=$S$15,$T$14,IF(ROUNDDOWN(F160,0)=$S$14,$U$14,$T$14))</f>
        <v>　レベル　5</v>
      </c>
      <c r="G165" s="1076" t="s">
        <v>1904</v>
      </c>
      <c r="H165" s="1077"/>
      <c r="I165" s="1077"/>
      <c r="J165" s="1078"/>
      <c r="K165" s="1170"/>
      <c r="L165" s="1170"/>
      <c r="M165" s="1170"/>
      <c r="N165" s="1170"/>
      <c r="O165" s="1170"/>
    </row>
    <row r="166" spans="2:15" ht="15.75">
      <c r="B166" s="1079">
        <v>0</v>
      </c>
      <c r="C166" s="1079">
        <v>0</v>
      </c>
      <c r="D166" s="1025"/>
      <c r="E166" s="1030"/>
      <c r="F166" s="1200"/>
      <c r="G166" s="1201"/>
      <c r="H166" s="1201"/>
      <c r="I166" s="1201"/>
      <c r="J166" s="1201"/>
      <c r="K166" s="1201"/>
      <c r="L166" s="1202"/>
      <c r="M166" s="1203"/>
      <c r="N166" s="1203"/>
      <c r="O166" s="1203"/>
    </row>
    <row r="167" spans="2:15" ht="15.75">
      <c r="D167" s="1025"/>
      <c r="E167" s="1030"/>
      <c r="F167" s="1036" t="s">
        <v>3164</v>
      </c>
      <c r="G167" s="1116"/>
      <c r="H167" s="1165"/>
      <c r="I167" s="1145"/>
      <c r="J167" s="1119" t="str">
        <f>IF(OR(F169=0,AND(J168=0,O168=0)),$R$3,"")</f>
        <v/>
      </c>
      <c r="K167" s="1204"/>
      <c r="L167" s="1116"/>
      <c r="M167" s="1165"/>
      <c r="N167" s="1145"/>
      <c r="O167" s="1119"/>
    </row>
    <row r="168" spans="2:15" ht="16.5" thickBot="1">
      <c r="D168" s="1025"/>
      <c r="E168" s="1178"/>
      <c r="F168" s="1042" t="s">
        <v>540</v>
      </c>
      <c r="G168" s="1043"/>
      <c r="H168" s="1044"/>
      <c r="I168" s="1045" t="s">
        <v>1484</v>
      </c>
      <c r="J168" s="1048">
        <f>重み!M24</f>
        <v>0.2</v>
      </c>
      <c r="K168" s="1042" t="s">
        <v>2123</v>
      </c>
      <c r="L168" s="1043"/>
      <c r="M168" s="1044"/>
      <c r="N168" s="1045" t="s">
        <v>1484</v>
      </c>
      <c r="O168" s="1048">
        <f>重み!N24</f>
        <v>0</v>
      </c>
    </row>
    <row r="169" spans="2:15" ht="16.5" thickBot="1">
      <c r="D169" s="1025"/>
      <c r="E169" s="1178"/>
      <c r="F169" s="1049">
        <v>3</v>
      </c>
      <c r="G169" s="1166" t="s">
        <v>2914</v>
      </c>
      <c r="H169" s="1054"/>
      <c r="I169" s="1054"/>
      <c r="J169" s="1055"/>
      <c r="K169" s="1049">
        <v>3</v>
      </c>
      <c r="L169" s="1166" t="s">
        <v>2915</v>
      </c>
      <c r="M169" s="1055"/>
      <c r="N169" s="1166" t="s">
        <v>1905</v>
      </c>
      <c r="O169" s="1055"/>
    </row>
    <row r="170" spans="2:15" ht="15.75" hidden="1">
      <c r="B170" s="1">
        <v>1</v>
      </c>
      <c r="C170" s="1">
        <v>1</v>
      </c>
      <c r="D170" s="1025"/>
      <c r="E170" s="1178"/>
      <c r="F170" s="1205"/>
      <c r="G170" s="1166" t="s">
        <v>1380</v>
      </c>
      <c r="H170" s="1054"/>
      <c r="I170" s="1054"/>
      <c r="J170" s="1055"/>
      <c r="K170" s="1205"/>
      <c r="L170" s="1172" t="s">
        <v>1380</v>
      </c>
      <c r="M170" s="1173"/>
      <c r="N170" s="1172"/>
      <c r="O170" s="1173"/>
    </row>
    <row r="171" spans="2:15" ht="60" hidden="1" customHeight="1">
      <c r="B171" s="1">
        <v>2</v>
      </c>
      <c r="C171" s="1">
        <v>2</v>
      </c>
      <c r="D171" s="1025"/>
      <c r="E171" s="1179"/>
      <c r="F171" s="1061" t="str">
        <f>IF(F169=$S$15,$T$10,IF(AND($O$3=$U$3,ROUNDDOWN(F169,0)=$S$10),$U$10,$T$10))</f>
        <v>　レベル　1</v>
      </c>
      <c r="G171" s="2896" t="s">
        <v>2916</v>
      </c>
      <c r="H171" s="2916"/>
      <c r="I171" s="2916"/>
      <c r="J171" s="2902"/>
      <c r="K171" s="1061" t="str">
        <f>IF(K169=$S$15,$T$10,IF(AND($O$3=$U$3,ROUNDDOWN(K169,0)=$S$10),$U$10,$T$10))</f>
        <v>　レベル　1</v>
      </c>
      <c r="L171" s="2900" t="s">
        <v>1906</v>
      </c>
      <c r="M171" s="2901"/>
      <c r="N171" s="2900" t="s">
        <v>93</v>
      </c>
      <c r="O171" s="2901"/>
    </row>
    <row r="172" spans="2:15" ht="60" hidden="1" customHeight="1">
      <c r="B172" s="1">
        <v>3</v>
      </c>
      <c r="C172" s="1">
        <v>3</v>
      </c>
      <c r="D172" s="1025"/>
      <c r="E172" s="1179"/>
      <c r="F172" s="1061" t="str">
        <f>IF(F169=$S$15,$T$11,IF(AND($O$3=$U$3,ROUNDDOWN(F169,0)=$S$11),$U$11,$T$11))</f>
        <v>　レベル　2</v>
      </c>
      <c r="G172" s="1065"/>
      <c r="H172" s="1177"/>
      <c r="I172" s="1206"/>
      <c r="J172" s="1176"/>
      <c r="K172" s="1061" t="str">
        <f>IF(K169=$S$15,$T$11,IF(AND($O$3=$U$3,ROUNDDOWN(K169,0)=$S$11),$U$11,$T$11))</f>
        <v>　レベル　2</v>
      </c>
      <c r="L172" s="2900"/>
      <c r="M172" s="2901"/>
      <c r="N172" s="2900" t="s">
        <v>396</v>
      </c>
      <c r="O172" s="2901"/>
    </row>
    <row r="173" spans="2:15" ht="60" hidden="1" customHeight="1">
      <c r="B173" s="1">
        <v>4</v>
      </c>
      <c r="C173" s="1">
        <v>4</v>
      </c>
      <c r="D173" s="1025"/>
      <c r="E173" s="1179"/>
      <c r="F173" s="1061" t="str">
        <f>IF(F169=$S$15,$T$12,IF(AND($O$3=$U$3,ROUNDDOWN(F169,0)=$S$12),$U$12,$T$12))</f>
        <v>■レベル　3</v>
      </c>
      <c r="G173" s="2900" t="s">
        <v>2917</v>
      </c>
      <c r="H173" s="2923"/>
      <c r="I173" s="2923"/>
      <c r="J173" s="2924"/>
      <c r="K173" s="1061" t="str">
        <f>IF(K169=$S$15,$T$12,IF(AND($O$3=$U$3,ROUNDDOWN(K169,0)=$S$12),$U$12,$T$12))</f>
        <v>■レベル　3</v>
      </c>
      <c r="L173" s="2900" t="s">
        <v>1907</v>
      </c>
      <c r="M173" s="2901"/>
      <c r="N173" s="2900" t="s">
        <v>397</v>
      </c>
      <c r="O173" s="2901"/>
    </row>
    <row r="174" spans="2:15" ht="45" hidden="1" customHeight="1">
      <c r="B174" s="1">
        <v>5</v>
      </c>
      <c r="C174" s="1">
        <v>5</v>
      </c>
      <c r="D174" s="1025"/>
      <c r="E174" s="1179"/>
      <c r="F174" s="1061" t="str">
        <f>IF(F169=$S$15,$T$13,IF(AND($O$3=$U$3,ROUNDDOWN(F169,0)=$S$13),$U$13,$T$13))</f>
        <v>　レベル　4</v>
      </c>
      <c r="G174" s="1065"/>
      <c r="H174" s="1177"/>
      <c r="I174" s="1206"/>
      <c r="J174" s="1071"/>
      <c r="K174" s="1061" t="str">
        <f>IF(K169=$S$15,$T$13,IF(AND($O$3=$U$3,ROUNDDOWN(K169,0)=$S$13),$U$13,$T$13))</f>
        <v>　レベル　4</v>
      </c>
      <c r="L174" s="2900"/>
      <c r="M174" s="2901"/>
      <c r="N174" s="2900" t="s">
        <v>2365</v>
      </c>
      <c r="O174" s="2901"/>
    </row>
    <row r="175" spans="2:15" ht="60" hidden="1" customHeight="1">
      <c r="B175" s="1079">
        <v>0</v>
      </c>
      <c r="C175" s="1079">
        <v>0</v>
      </c>
      <c r="D175" s="1025"/>
      <c r="E175" s="1179"/>
      <c r="F175" s="1072" t="str">
        <f>IF(F169=$S$15,$T$14,IF(AND($O$3=$U$3,ROUNDDOWN(F169,0)=$S$14),$U$14,$T$14))</f>
        <v>　レベル　5</v>
      </c>
      <c r="G175" s="2898" t="s">
        <v>2918</v>
      </c>
      <c r="H175" s="2920"/>
      <c r="I175" s="2920"/>
      <c r="J175" s="2921"/>
      <c r="K175" s="1072" t="str">
        <f>IF(K169=$S$15,$T$14,IF(AND($O$3=$U$3,ROUNDDOWN(K169,0)=$S$14),$U$14,$T$14))</f>
        <v>　レベル　5</v>
      </c>
      <c r="L175" s="2900" t="s">
        <v>1908</v>
      </c>
      <c r="M175" s="2901"/>
      <c r="N175" s="2900" t="s">
        <v>398</v>
      </c>
      <c r="O175" s="2901"/>
    </row>
    <row r="176" spans="2:15" ht="15.75" hidden="1">
      <c r="D176" s="1025"/>
      <c r="E176" s="1179"/>
      <c r="F176" s="1168"/>
      <c r="G176" s="1054" t="s">
        <v>1379</v>
      </c>
      <c r="H176" s="1187"/>
      <c r="I176" s="1187"/>
      <c r="J176" s="1187"/>
      <c r="K176" s="1168"/>
      <c r="L176" s="1187" t="s">
        <v>1379</v>
      </c>
      <c r="M176" s="1187"/>
      <c r="N176" s="1187"/>
      <c r="O176" s="1207"/>
    </row>
    <row r="177" spans="2:15" ht="84.75" customHeight="1">
      <c r="D177" s="1025"/>
      <c r="E177" s="1179"/>
      <c r="F177" s="1169" t="str">
        <f>IF(F169=$S$15,$T$10,IF(AND($O$3&lt;&gt;$U$3,ROUNDDOWN(F169,0)=$S$10),$U$10,$T$10))</f>
        <v>　レベル　1</v>
      </c>
      <c r="G177" s="2896" t="s">
        <v>2919</v>
      </c>
      <c r="H177" s="2897"/>
      <c r="I177" s="2897"/>
      <c r="J177" s="2914"/>
      <c r="K177" s="1169" t="str">
        <f>IF(K169=$S$15,$T$10,IF(AND($O$3&lt;&gt;$U$3,ROUNDDOWN(K169,0)=$S$10),$U$10,$T$10))</f>
        <v>　レベル　1</v>
      </c>
      <c r="L177" s="2896" t="s">
        <v>2920</v>
      </c>
      <c r="M177" s="2914"/>
      <c r="N177" s="2900" t="s">
        <v>399</v>
      </c>
      <c r="O177" s="2901"/>
    </row>
    <row r="178" spans="2:15" ht="49.5" customHeight="1">
      <c r="D178" s="1025"/>
      <c r="E178" s="1179"/>
      <c r="F178" s="1061" t="str">
        <f>IF(F169=$S$15,$T$11,IF(AND($O$3&lt;&gt;$U$3,ROUNDDOWN(F169,0)=$S$11),$U$11,$T$11))</f>
        <v>　レベル　2</v>
      </c>
      <c r="G178" s="2900"/>
      <c r="H178" s="2906"/>
      <c r="I178" s="2906"/>
      <c r="J178" s="2901"/>
      <c r="K178" s="1061" t="str">
        <f>IF(K169=$S$15,$T$11,IF(AND($O$3&lt;&gt;$U$3,ROUNDDOWN(K169,0)=$S$11),$U$11,$T$11))</f>
        <v>　レベル　2</v>
      </c>
      <c r="L178" s="1065"/>
      <c r="M178" s="1177"/>
      <c r="N178" s="2900" t="s">
        <v>400</v>
      </c>
      <c r="O178" s="2901"/>
    </row>
    <row r="179" spans="2:15" ht="84.75" customHeight="1">
      <c r="D179" s="1025"/>
      <c r="E179" s="1179"/>
      <c r="F179" s="1061" t="str">
        <f>IF(F169=$S$15,$T$12,IF(AND($O$3&lt;&gt;$U$3,ROUNDDOWN(F169,0)=$S$12),$U$12,$T$12))</f>
        <v>　レベル　3</v>
      </c>
      <c r="G179" s="2900" t="s">
        <v>3166</v>
      </c>
      <c r="H179" s="2906"/>
      <c r="I179" s="2906"/>
      <c r="J179" s="2901"/>
      <c r="K179" s="1061" t="str">
        <f>IF(K169=$S$15,$T$12,IF(AND($O$3&lt;&gt;$U$3,ROUNDDOWN(K169,0)=$S$12),$U$12,$T$12))</f>
        <v>　レベル　3</v>
      </c>
      <c r="L179" s="2900" t="s">
        <v>3167</v>
      </c>
      <c r="M179" s="2901"/>
      <c r="N179" s="2900" t="s">
        <v>401</v>
      </c>
      <c r="O179" s="2901"/>
    </row>
    <row r="180" spans="2:15" ht="15.75">
      <c r="D180" s="1025"/>
      <c r="E180" s="1179"/>
      <c r="F180" s="1061" t="str">
        <f>IF(F169=$S$15,$T$13,IF(AND($O$3&lt;&gt;$U$3,ROUNDDOWN(F169,0)=$S$13),$U$13,$T$13))</f>
        <v>　レベル　4</v>
      </c>
      <c r="G180" s="2900"/>
      <c r="H180" s="2906"/>
      <c r="I180" s="2906"/>
      <c r="J180" s="2901"/>
      <c r="K180" s="1061" t="str">
        <f>IF(K169=$S$15,$T$13,IF(AND($O$3&lt;&gt;$U$3,ROUNDDOWN(K169,0)=$S$13),$U$13,$T$13))</f>
        <v>　レベル　4</v>
      </c>
      <c r="L180" s="1065"/>
      <c r="M180" s="1177"/>
      <c r="N180" s="2900" t="s">
        <v>2365</v>
      </c>
      <c r="O180" s="2901"/>
    </row>
    <row r="181" spans="2:15" ht="89.25" customHeight="1">
      <c r="D181" s="1025"/>
      <c r="E181" s="1179"/>
      <c r="F181" s="1072" t="str">
        <f>IF(F169=$S$15,$T$14,IF(AND($O$3&lt;&gt;$U$3,ROUNDDOWN(F169,0)=$S$14),$U$14,$T$14))</f>
        <v>　レベル　5</v>
      </c>
      <c r="G181" s="2898" t="s">
        <v>3096</v>
      </c>
      <c r="H181" s="2905"/>
      <c r="I181" s="2905"/>
      <c r="J181" s="2899"/>
      <c r="K181" s="1072" t="str">
        <f>IF(K169=$S$15,$T$14,IF(AND($O$3&lt;&gt;$U$3,ROUNDDOWN(K169,0)=$S$14),$U$14,$T$14))</f>
        <v>　レベル　5</v>
      </c>
      <c r="L181" s="2898" t="s">
        <v>3168</v>
      </c>
      <c r="M181" s="2899"/>
      <c r="N181" s="2898" t="s">
        <v>402</v>
      </c>
      <c r="O181" s="2899"/>
    </row>
    <row r="182" spans="2:15" ht="15.75">
      <c r="D182" s="1025"/>
      <c r="E182" s="1030"/>
      <c r="F182" s="1030"/>
      <c r="G182" s="1170"/>
      <c r="H182" s="1170"/>
      <c r="I182" s="1170"/>
      <c r="J182" s="1170"/>
      <c r="K182" s="1170"/>
      <c r="L182" s="1170"/>
      <c r="M182" s="1170"/>
      <c r="N182" s="1170"/>
      <c r="O182" s="1170"/>
    </row>
    <row r="183" spans="2:15" ht="15.75">
      <c r="D183" s="1025"/>
      <c r="E183" s="1179"/>
      <c r="F183" s="1184" t="s">
        <v>3169</v>
      </c>
      <c r="G183" s="1116"/>
      <c r="H183" s="1165"/>
      <c r="I183" s="1145"/>
      <c r="J183" s="1119" t="str">
        <f>IF(OR(F185=0,J184=0),$R$3,"")</f>
        <v/>
      </c>
      <c r="K183" s="1170"/>
      <c r="L183" s="1170"/>
      <c r="M183" s="1170"/>
      <c r="N183" s="1170"/>
      <c r="O183" s="1170"/>
    </row>
    <row r="184" spans="2:15" ht="16.5" thickBot="1">
      <c r="D184" s="1025"/>
      <c r="E184" s="1179"/>
      <c r="F184" s="1185" t="s">
        <v>2707</v>
      </c>
      <c r="G184" s="1186"/>
      <c r="H184" s="1187"/>
      <c r="I184" s="1045" t="s">
        <v>1484</v>
      </c>
      <c r="J184" s="1043">
        <f>重み!M25</f>
        <v>0.3</v>
      </c>
      <c r="K184" s="1186"/>
      <c r="L184" s="1188"/>
      <c r="M184" s="1212" t="s">
        <v>557</v>
      </c>
      <c r="N184" s="1213"/>
      <c r="O184" s="1170"/>
    </row>
    <row r="185" spans="2:15" ht="16.5" thickBot="1">
      <c r="D185" s="1025"/>
      <c r="E185" s="1179"/>
      <c r="F185" s="1049">
        <v>3</v>
      </c>
      <c r="G185" s="1054" t="s">
        <v>558</v>
      </c>
      <c r="H185" s="1054"/>
      <c r="I185" s="1055"/>
      <c r="J185" s="1166" t="s">
        <v>559</v>
      </c>
      <c r="K185" s="1054"/>
      <c r="L185" s="1054"/>
      <c r="M185" s="1214" t="s">
        <v>1909</v>
      </c>
      <c r="N185" s="1215"/>
      <c r="O185" s="1170"/>
    </row>
    <row r="186" spans="2:15" ht="51.75" customHeight="1">
      <c r="B186" s="1">
        <v>1</v>
      </c>
      <c r="C186" s="1">
        <v>1</v>
      </c>
      <c r="D186" s="1025"/>
      <c r="E186" s="1179"/>
      <c r="F186" s="1056" t="str">
        <f>IF(F185=$S$15,$T$10,IF(ROUNDDOWN(F185,0)=$S$10,$U$10,$T$10))</f>
        <v>　レベル　1</v>
      </c>
      <c r="G186" s="2896" t="s">
        <v>1910</v>
      </c>
      <c r="H186" s="2916"/>
      <c r="I186" s="2902"/>
      <c r="J186" s="2896" t="s">
        <v>560</v>
      </c>
      <c r="K186" s="2897"/>
      <c r="L186" s="2897"/>
      <c r="M186" s="2929" t="s">
        <v>561</v>
      </c>
      <c r="N186" s="2930"/>
      <c r="O186" s="1170"/>
    </row>
    <row r="187" spans="2:15" ht="15.75">
      <c r="B187" s="1">
        <v>2</v>
      </c>
      <c r="C187" s="1">
        <v>2</v>
      </c>
      <c r="D187" s="1025"/>
      <c r="E187" s="1179"/>
      <c r="F187" s="1061" t="str">
        <f>IF(F185=$S$15,$T$11,IF(ROUNDDOWN(F185,0)=$S$11,$U$11,$T$11))</f>
        <v>　レベル　2</v>
      </c>
      <c r="G187" s="1216"/>
      <c r="H187" s="1217"/>
      <c r="I187" s="1218"/>
      <c r="J187" s="1065"/>
      <c r="K187" s="1066"/>
      <c r="L187" s="1066"/>
      <c r="M187" s="1219"/>
      <c r="N187" s="1220"/>
      <c r="O187" s="1170"/>
    </row>
    <row r="188" spans="2:15" ht="55.5" customHeight="1">
      <c r="B188" s="1">
        <v>3</v>
      </c>
      <c r="C188" s="1">
        <v>3</v>
      </c>
      <c r="D188" s="1025"/>
      <c r="E188" s="1179"/>
      <c r="F188" s="1061" t="str">
        <f>IF(F185=$S$15,$T$12,IF(ROUNDDOWN(F185,0)=$S$12,$U$12,$T$12))</f>
        <v>■レベル　3</v>
      </c>
      <c r="G188" s="2900" t="s">
        <v>562</v>
      </c>
      <c r="H188" s="2906"/>
      <c r="I188" s="2901"/>
      <c r="J188" s="2900" t="s">
        <v>365</v>
      </c>
      <c r="K188" s="2906"/>
      <c r="L188" s="2906"/>
      <c r="M188" s="2931" t="s">
        <v>366</v>
      </c>
      <c r="N188" s="2932"/>
      <c r="O188" s="1170"/>
    </row>
    <row r="189" spans="2:15" ht="55.5" customHeight="1">
      <c r="B189" s="1">
        <v>4</v>
      </c>
      <c r="C189" s="1">
        <v>4</v>
      </c>
      <c r="D189" s="1025"/>
      <c r="E189" s="1179"/>
      <c r="F189" s="1061" t="str">
        <f>IF(F185=$S$15,$T$13,IF(ROUNDDOWN(F185,0)=$S$13,$U$13,$T$13))</f>
        <v>　レベル　4</v>
      </c>
      <c r="G189" s="2900" t="s">
        <v>367</v>
      </c>
      <c r="H189" s="2906"/>
      <c r="I189" s="2901"/>
      <c r="J189" s="2900" t="s">
        <v>2359</v>
      </c>
      <c r="K189" s="2906"/>
      <c r="L189" s="2906"/>
      <c r="M189" s="2931" t="s">
        <v>368</v>
      </c>
      <c r="N189" s="2932"/>
      <c r="O189" s="1170"/>
    </row>
    <row r="190" spans="2:15" ht="55.5" customHeight="1">
      <c r="B190" s="1">
        <v>5</v>
      </c>
      <c r="C190" s="1">
        <v>5</v>
      </c>
      <c r="D190" s="1025"/>
      <c r="E190" s="1179"/>
      <c r="F190" s="1072" t="str">
        <f>IF(F185=$S$15,$T$14,IF(ROUNDDOWN(F185,0)=$S$14,$U$14,$T$14))</f>
        <v>　レベル　5</v>
      </c>
      <c r="G190" s="2898" t="s">
        <v>672</v>
      </c>
      <c r="H190" s="2905"/>
      <c r="I190" s="2899"/>
      <c r="J190" s="2898" t="s">
        <v>369</v>
      </c>
      <c r="K190" s="2905"/>
      <c r="L190" s="2905"/>
      <c r="M190" s="2936" t="s">
        <v>2046</v>
      </c>
      <c r="N190" s="2937"/>
      <c r="O190" s="1170"/>
    </row>
    <row r="191" spans="2:15" ht="15.75" hidden="1">
      <c r="B191" s="1079">
        <v>0</v>
      </c>
      <c r="C191" s="1079">
        <v>0</v>
      </c>
      <c r="D191" s="1025"/>
      <c r="E191" s="1026"/>
      <c r="F191" s="1221"/>
      <c r="G191" s="1222"/>
      <c r="H191" s="1115"/>
      <c r="I191" s="1222"/>
      <c r="J191" s="1115"/>
      <c r="K191" s="1170"/>
      <c r="L191" s="1170"/>
      <c r="M191" s="1170"/>
      <c r="N191" s="1170"/>
      <c r="O191" s="1170"/>
    </row>
    <row r="192" spans="2:15" ht="15.75" hidden="1">
      <c r="D192" s="1025"/>
      <c r="E192" s="1178"/>
      <c r="F192" s="1036" t="s">
        <v>2047</v>
      </c>
      <c r="G192" s="1116"/>
      <c r="H192" s="1165"/>
      <c r="I192" s="1145"/>
      <c r="J192" s="1119" t="str">
        <f>IF(OR(F194=0,AND(J193=0,O193=0)),$R$3,"")</f>
        <v>&lt;評価しない&gt;</v>
      </c>
      <c r="K192" s="1115"/>
      <c r="L192" s="1116"/>
      <c r="M192" s="1165"/>
      <c r="N192" s="1145"/>
      <c r="O192" s="1145"/>
    </row>
    <row r="193" spans="2:15" ht="15.75" hidden="1">
      <c r="D193" s="1025"/>
      <c r="E193" s="1178"/>
      <c r="F193" s="1042" t="s">
        <v>2707</v>
      </c>
      <c r="G193" s="1043"/>
      <c r="H193" s="1044"/>
      <c r="I193" s="1045" t="s">
        <v>1484</v>
      </c>
      <c r="J193" s="1048">
        <f>重み!M26</f>
        <v>0.1</v>
      </c>
      <c r="K193" s="1042" t="s">
        <v>2123</v>
      </c>
      <c r="L193" s="1043"/>
      <c r="M193" s="1044"/>
      <c r="N193" s="1045" t="s">
        <v>1484</v>
      </c>
      <c r="O193" s="1048">
        <f>重み!N26</f>
        <v>0</v>
      </c>
    </row>
    <row r="194" spans="2:15" ht="16.5" hidden="1" thickBot="1">
      <c r="D194" s="1025"/>
      <c r="E194" s="1178"/>
      <c r="F194" s="1049">
        <v>0</v>
      </c>
      <c r="G194" s="1053" t="s">
        <v>2048</v>
      </c>
      <c r="H194" s="1054"/>
      <c r="I194" s="1054"/>
      <c r="J194" s="1054"/>
      <c r="K194" s="1049">
        <v>0</v>
      </c>
      <c r="L194" s="1166" t="s">
        <v>1219</v>
      </c>
      <c r="M194" s="1055"/>
      <c r="N194" s="1166"/>
      <c r="O194" s="1171"/>
    </row>
    <row r="195" spans="2:15" ht="15.75" hidden="1" customHeight="1">
      <c r="B195" s="1">
        <v>1</v>
      </c>
      <c r="C195" s="1">
        <v>1</v>
      </c>
      <c r="D195" s="1025"/>
      <c r="E195" s="1179"/>
      <c r="F195" s="1056" t="str">
        <f>IF(F194=$S$15,$T$10,IF(ROUNDDOWN(F194,0)=$S$10,$U$10,$T$10))</f>
        <v>　レベル　1</v>
      </c>
      <c r="G195" s="2896" t="s">
        <v>2049</v>
      </c>
      <c r="H195" s="2916"/>
      <c r="I195" s="2916"/>
      <c r="J195" s="2902"/>
      <c r="K195" s="1056" t="str">
        <f>IF(K194=$S$15,$T$10,IF(ROUNDDOWN(K194,0)=$S$10,$U$10,$T$10))</f>
        <v>　レベル　1</v>
      </c>
      <c r="L195" s="2896" t="s">
        <v>2049</v>
      </c>
      <c r="M195" s="2916"/>
      <c r="N195" s="2916"/>
      <c r="O195" s="2902"/>
    </row>
    <row r="196" spans="2:15" ht="15.75" hidden="1" customHeight="1">
      <c r="B196" s="1">
        <v>2</v>
      </c>
      <c r="C196" s="1">
        <v>2</v>
      </c>
      <c r="D196" s="1025"/>
      <c r="E196" s="1179"/>
      <c r="F196" s="1061" t="str">
        <f>IF(F194=$S$15,$T$11,IF(ROUNDDOWN(F194,0)=$S$11,$U$11,$T$11))</f>
        <v>　レベル　2</v>
      </c>
      <c r="G196" s="2900" t="s">
        <v>2050</v>
      </c>
      <c r="H196" s="2906"/>
      <c r="I196" s="2906"/>
      <c r="J196" s="2901"/>
      <c r="K196" s="1061" t="str">
        <f>IF(K194=$S$15,$T$11,IF(ROUNDDOWN(K194,0)=$S$11,$U$11,$T$11))</f>
        <v>　レベル　2</v>
      </c>
      <c r="L196" s="2933" t="s">
        <v>2050</v>
      </c>
      <c r="M196" s="2934"/>
      <c r="N196" s="2934"/>
      <c r="O196" s="2935"/>
    </row>
    <row r="197" spans="2:15" ht="15.75" hidden="1" customHeight="1">
      <c r="B197" s="1">
        <v>3</v>
      </c>
      <c r="C197" s="1">
        <v>3</v>
      </c>
      <c r="D197" s="1025"/>
      <c r="E197" s="1179"/>
      <c r="F197" s="1061" t="str">
        <f>IF(F194=$S$15,$T$12,IF(ROUNDDOWN(F194,0)=$S$12,$U$12,$T$12))</f>
        <v>　レベル　3</v>
      </c>
      <c r="G197" s="2900" t="s">
        <v>2051</v>
      </c>
      <c r="H197" s="2906"/>
      <c r="I197" s="2906"/>
      <c r="J197" s="2901"/>
      <c r="K197" s="1061" t="str">
        <f>IF(K194=$S$15,$T$12,IF(ROUNDDOWN(K194,0)=$S$12,$U$12,$T$12))</f>
        <v>　レベル　3</v>
      </c>
      <c r="L197" s="2933" t="s">
        <v>673</v>
      </c>
      <c r="M197" s="2934"/>
      <c r="N197" s="2934"/>
      <c r="O197" s="2935"/>
    </row>
    <row r="198" spans="2:15" ht="15.75" hidden="1">
      <c r="B198" s="1">
        <v>4</v>
      </c>
      <c r="C198" s="1">
        <v>4</v>
      </c>
      <c r="D198" s="1025"/>
      <c r="E198" s="1179"/>
      <c r="F198" s="1061" t="str">
        <f>IF(F194=$S$15,$T$13,IF(ROUNDDOWN(F194,0)=$S$13,$U$13,$T$13))</f>
        <v>　レベル　4</v>
      </c>
      <c r="G198" s="1223"/>
      <c r="H198" s="1224"/>
      <c r="I198" s="1217"/>
      <c r="J198" s="1218"/>
      <c r="K198" s="1061" t="str">
        <f>IF(K194=$S$15,$T$13,IF(ROUNDDOWN(K194,0)=$S$13,$U$13,$T$13))</f>
        <v>　レベル　4</v>
      </c>
      <c r="L198" s="2933"/>
      <c r="M198" s="2934"/>
      <c r="N198" s="2934"/>
      <c r="O198" s="2935"/>
    </row>
    <row r="199" spans="2:15" ht="15.75" hidden="1" customHeight="1">
      <c r="B199" s="1">
        <v>5</v>
      </c>
      <c r="C199" s="1">
        <v>5</v>
      </c>
      <c r="D199" s="1025"/>
      <c r="E199" s="1179"/>
      <c r="F199" s="1072" t="str">
        <f>IF(F194=$S$15,$T$14,IF(ROUNDDOWN(F194,0)=$S$14,$U$14,$T$14))</f>
        <v>　レベル　5</v>
      </c>
      <c r="G199" s="2940" t="s">
        <v>2052</v>
      </c>
      <c r="H199" s="2941"/>
      <c r="I199" s="2941"/>
      <c r="J199" s="2942"/>
      <c r="K199" s="1072" t="str">
        <f>IF(K194=$S$15,$T$14,IF(ROUNDDOWN(K194,0)=$S$14,$U$14,$T$14))</f>
        <v>　レベル　5</v>
      </c>
      <c r="L199" s="2940" t="s">
        <v>674</v>
      </c>
      <c r="M199" s="2941"/>
      <c r="N199" s="2941"/>
      <c r="O199" s="2942"/>
    </row>
    <row r="200" spans="2:15" ht="15.75" hidden="1">
      <c r="B200" s="1079">
        <v>0</v>
      </c>
      <c r="C200" s="1079">
        <v>0</v>
      </c>
      <c r="D200" s="1025"/>
      <c r="E200" s="1179"/>
      <c r="F200" s="1225"/>
      <c r="G200" s="1203"/>
      <c r="H200" s="1201"/>
      <c r="I200" s="1201"/>
      <c r="J200" s="1201"/>
      <c r="K200" s="1203"/>
      <c r="L200" s="1203"/>
      <c r="M200" s="1203"/>
      <c r="N200" s="1203"/>
      <c r="O200" s="1115"/>
    </row>
    <row r="201" spans="2:15" ht="15.75" hidden="1">
      <c r="D201" s="1025"/>
      <c r="E201" s="1179"/>
      <c r="F201" s="1036" t="s">
        <v>2053</v>
      </c>
      <c r="G201" s="1116"/>
      <c r="H201" s="1165"/>
      <c r="I201" s="1145"/>
      <c r="J201" s="1119" t="str">
        <f>IF(OR(F203=0,J202=0),$R$3,"")</f>
        <v>&lt;評価しない&gt;</v>
      </c>
      <c r="K201" s="1203"/>
      <c r="L201" s="1203"/>
      <c r="M201" s="1203"/>
      <c r="N201" s="1203"/>
      <c r="O201" s="1115"/>
    </row>
    <row r="202" spans="2:15" ht="15.75" hidden="1">
      <c r="D202" s="1025"/>
      <c r="E202" s="1179"/>
      <c r="F202" s="1042" t="s">
        <v>675</v>
      </c>
      <c r="G202" s="1043"/>
      <c r="H202" s="1044"/>
      <c r="I202" s="1045" t="s">
        <v>1484</v>
      </c>
      <c r="J202" s="1048">
        <f>重み!N27</f>
        <v>0</v>
      </c>
      <c r="K202" s="1203"/>
      <c r="L202" s="1203"/>
      <c r="M202" s="1203"/>
      <c r="N202" s="1203"/>
      <c r="O202" s="1115"/>
    </row>
    <row r="203" spans="2:15" ht="16.5" hidden="1" thickBot="1">
      <c r="D203" s="1025"/>
      <c r="E203" s="1179"/>
      <c r="F203" s="1049">
        <v>0</v>
      </c>
      <c r="G203" s="2938" t="s">
        <v>1219</v>
      </c>
      <c r="H203" s="2939"/>
      <c r="I203" s="2939" t="s">
        <v>2054</v>
      </c>
      <c r="J203" s="2939"/>
      <c r="K203" s="1203"/>
      <c r="L203" s="1203"/>
      <c r="M203" s="1203"/>
      <c r="N203" s="1203"/>
      <c r="O203" s="1115"/>
    </row>
    <row r="204" spans="2:15" ht="15.75" hidden="1" customHeight="1">
      <c r="B204" s="1">
        <v>1</v>
      </c>
      <c r="C204" s="1">
        <v>1</v>
      </c>
      <c r="D204" s="1025"/>
      <c r="E204" s="1179"/>
      <c r="F204" s="1056" t="str">
        <f>IF(F203=$S$15,$T$10,IF(ROUNDDOWN(F203,0)=$S$10,$U$10,$T$10))</f>
        <v>　レベル　1</v>
      </c>
      <c r="G204" s="2896" t="s">
        <v>2055</v>
      </c>
      <c r="H204" s="2902"/>
      <c r="I204" s="2896" t="s">
        <v>457</v>
      </c>
      <c r="J204" s="2914"/>
      <c r="K204" s="1203"/>
      <c r="L204" s="1203"/>
      <c r="M204" s="1203"/>
      <c r="N204" s="1203"/>
      <c r="O204" s="1115"/>
    </row>
    <row r="205" spans="2:15" ht="15.75" hidden="1">
      <c r="B205" s="1">
        <v>2</v>
      </c>
      <c r="C205" s="1">
        <v>2</v>
      </c>
      <c r="D205" s="1025"/>
      <c r="E205" s="1179"/>
      <c r="F205" s="1061" t="str">
        <f>IF(F203=$S$15,$T$11,IF(ROUNDDOWN(F203,0)=$S$11,$U$11,$T$11))</f>
        <v>　レベル　2</v>
      </c>
      <c r="G205" s="1069"/>
      <c r="H205" s="1071"/>
      <c r="I205" s="1069"/>
      <c r="J205" s="1071"/>
      <c r="K205" s="1203"/>
      <c r="L205" s="1203"/>
      <c r="M205" s="1203"/>
      <c r="N205" s="1203"/>
      <c r="O205" s="1115"/>
    </row>
    <row r="206" spans="2:15" ht="15.75" hidden="1" customHeight="1">
      <c r="B206" s="1">
        <v>3</v>
      </c>
      <c r="C206" s="1">
        <v>3</v>
      </c>
      <c r="D206" s="1025"/>
      <c r="E206" s="1179"/>
      <c r="F206" s="1061" t="str">
        <f>IF(F203=$S$15,$T$12,IF(ROUNDDOWN(F203,0)=$S$12,$U$12,$T$12))</f>
        <v>　レベル　3</v>
      </c>
      <c r="G206" s="2900" t="s">
        <v>2056</v>
      </c>
      <c r="H206" s="2943"/>
      <c r="I206" s="2900" t="s">
        <v>2057</v>
      </c>
      <c r="J206" s="2901"/>
      <c r="K206" s="1203"/>
      <c r="L206" s="1203"/>
      <c r="M206" s="1203"/>
      <c r="N206" s="1203"/>
      <c r="O206" s="1115"/>
    </row>
    <row r="207" spans="2:15" ht="15.75" hidden="1">
      <c r="B207" s="1">
        <v>4</v>
      </c>
      <c r="C207" s="1">
        <v>4</v>
      </c>
      <c r="D207" s="1025"/>
      <c r="E207" s="1179"/>
      <c r="F207" s="1061" t="str">
        <f>IF(F203=$S$15,$T$13,IF(ROUNDDOWN(F203,0)=$S$13,$U$13,$T$13))</f>
        <v>　レベル　4</v>
      </c>
      <c r="G207" s="1069"/>
      <c r="H207" s="1071"/>
      <c r="I207" s="1069"/>
      <c r="J207" s="1071"/>
      <c r="K207" s="1203"/>
      <c r="L207" s="1203"/>
      <c r="M207" s="1203"/>
      <c r="N207" s="1203"/>
      <c r="O207" s="1115"/>
    </row>
    <row r="208" spans="2:15" ht="15.75" hidden="1" customHeight="1">
      <c r="B208" s="1">
        <v>5</v>
      </c>
      <c r="C208" s="1">
        <v>5</v>
      </c>
      <c r="D208" s="1025"/>
      <c r="E208" s="1179"/>
      <c r="F208" s="1072" t="str">
        <f>IF(F203=$S$15,$T$14,IF(ROUNDDOWN(F203,0)=$S$14,$U$14,$T$14))</f>
        <v>　レベル　5</v>
      </c>
      <c r="G208" s="2898" t="s">
        <v>2058</v>
      </c>
      <c r="H208" s="2928"/>
      <c r="I208" s="2898" t="s">
        <v>2059</v>
      </c>
      <c r="J208" s="2899"/>
      <c r="K208" s="1203"/>
      <c r="L208" s="1203"/>
      <c r="M208" s="1203"/>
      <c r="N208" s="1203"/>
      <c r="O208" s="1115"/>
    </row>
    <row r="209" spans="2:15" ht="15.75" hidden="1">
      <c r="B209" s="1079">
        <v>0</v>
      </c>
      <c r="C209" s="1079">
        <v>0</v>
      </c>
      <c r="D209" s="1025"/>
      <c r="E209" s="1179"/>
      <c r="F209" s="1225"/>
      <c r="G209" s="1203"/>
      <c r="H209" s="1201"/>
      <c r="I209" s="1201"/>
      <c r="J209" s="1201"/>
      <c r="K209" s="1203"/>
      <c r="L209" s="1203"/>
      <c r="M209" s="1203"/>
      <c r="N209" s="1203"/>
      <c r="O209" s="1115"/>
    </row>
    <row r="210" spans="2:15" ht="15.75" hidden="1">
      <c r="D210" s="1025"/>
      <c r="E210" s="1178"/>
      <c r="F210" s="1036" t="s">
        <v>307</v>
      </c>
      <c r="G210" s="1116"/>
      <c r="H210" s="1165"/>
      <c r="I210" s="1145"/>
      <c r="J210" s="1119" t="str">
        <f>IF(OR(F212=0,J211=0),$R$3,"")</f>
        <v>&lt;評価しない&gt;</v>
      </c>
      <c r="K210" s="1204" t="s">
        <v>2060</v>
      </c>
      <c r="L210" s="1116"/>
      <c r="M210" s="1165"/>
      <c r="N210" s="1145"/>
      <c r="O210" s="1119" t="str">
        <f>IF(OR(K212=0,O211=0),$R$3,"")</f>
        <v>&lt;評価しない&gt;</v>
      </c>
    </row>
    <row r="211" spans="2:15" ht="15.75" hidden="1">
      <c r="D211" s="1025"/>
      <c r="E211" s="1178"/>
      <c r="F211" s="1042" t="s">
        <v>308</v>
      </c>
      <c r="G211" s="1043"/>
      <c r="H211" s="1044"/>
      <c r="I211" s="1045" t="s">
        <v>1484</v>
      </c>
      <c r="J211" s="1048">
        <f>重み!M28</f>
        <v>0.1</v>
      </c>
      <c r="K211" s="1042" t="s">
        <v>2174</v>
      </c>
      <c r="L211" s="1043"/>
      <c r="M211" s="1044"/>
      <c r="N211" s="1045" t="s">
        <v>1484</v>
      </c>
      <c r="O211" s="1048">
        <f>重み!M29</f>
        <v>0</v>
      </c>
    </row>
    <row r="212" spans="2:15" ht="16.5" hidden="1" thickBot="1">
      <c r="D212" s="1025"/>
      <c r="E212" s="1178"/>
      <c r="F212" s="1049">
        <v>0</v>
      </c>
      <c r="G212" s="1053" t="s">
        <v>2061</v>
      </c>
      <c r="H212" s="1054"/>
      <c r="I212" s="1054"/>
      <c r="J212" s="1055"/>
      <c r="K212" s="1049">
        <v>0</v>
      </c>
      <c r="L212" s="1166" t="s">
        <v>2062</v>
      </c>
      <c r="M212" s="1055"/>
      <c r="N212" s="1166"/>
      <c r="O212" s="1171"/>
    </row>
    <row r="213" spans="2:15" ht="15.75" hidden="1" customHeight="1">
      <c r="B213" s="1">
        <v>1</v>
      </c>
      <c r="C213" s="1">
        <v>1</v>
      </c>
      <c r="D213" s="1025"/>
      <c r="E213" s="1179"/>
      <c r="F213" s="1056" t="str">
        <f>IF(F212=$S$15,$T$10,IF(ROUNDDOWN(F212,0)=$S$10,$U$10,$T$10))</f>
        <v>　レベル　1</v>
      </c>
      <c r="G213" s="2896" t="s">
        <v>2063</v>
      </c>
      <c r="H213" s="2897"/>
      <c r="I213" s="2897"/>
      <c r="J213" s="2914"/>
      <c r="K213" s="1056" t="str">
        <f>IF(K212=$S$15,$T$10,IF(ROUNDDOWN(K212,0)=$S$10,$U$10,$T$10))</f>
        <v>　レベル　1</v>
      </c>
      <c r="L213" s="2896" t="s">
        <v>2064</v>
      </c>
      <c r="M213" s="2916"/>
      <c r="N213" s="2916"/>
      <c r="O213" s="2902"/>
    </row>
    <row r="214" spans="2:15" ht="15.75" hidden="1">
      <c r="B214" s="1">
        <v>2</v>
      </c>
      <c r="C214" s="1">
        <v>2</v>
      </c>
      <c r="D214" s="1025"/>
      <c r="E214" s="1179"/>
      <c r="F214" s="1061" t="str">
        <f>IF(F212=$S$15,$T$11,IF(ROUNDDOWN(F212,0)=$S$11,$U$11,$T$11))</f>
        <v>　レベル　2</v>
      </c>
      <c r="G214" s="2900"/>
      <c r="H214" s="2906"/>
      <c r="I214" s="2906"/>
      <c r="J214" s="2901"/>
      <c r="K214" s="1061" t="str">
        <f>IF(K212=$S$15,$T$11,IF(ROUNDDOWN(K212,0)=$S$11,$U$11,$T$11))</f>
        <v>　レベル　2</v>
      </c>
      <c r="L214" s="2933"/>
      <c r="M214" s="2934"/>
      <c r="N214" s="2934"/>
      <c r="O214" s="2935"/>
    </row>
    <row r="215" spans="2:15" ht="15.75" hidden="1" customHeight="1">
      <c r="B215" s="1">
        <v>3</v>
      </c>
      <c r="C215" s="1">
        <v>3</v>
      </c>
      <c r="D215" s="1025"/>
      <c r="E215" s="1179"/>
      <c r="F215" s="1061" t="str">
        <f>IF(F212=$S$15,$T$12,IF(ROUNDDOWN(F212,0)=$S$12,$U$12,$T$12))</f>
        <v>　レベル　3</v>
      </c>
      <c r="G215" s="2900" t="s">
        <v>489</v>
      </c>
      <c r="H215" s="2906"/>
      <c r="I215" s="2906"/>
      <c r="J215" s="2901"/>
      <c r="K215" s="1061" t="str">
        <f>IF(K212=$S$15,$T$12,IF(ROUNDDOWN(K212,0)=$S$12,$U$12,$T$12))</f>
        <v>　レベル　3</v>
      </c>
      <c r="L215" s="2933" t="s">
        <v>309</v>
      </c>
      <c r="M215" s="2934"/>
      <c r="N215" s="2934"/>
      <c r="O215" s="2935"/>
    </row>
    <row r="216" spans="2:15" ht="15.75" hidden="1">
      <c r="B216" s="1">
        <v>4</v>
      </c>
      <c r="C216" s="1">
        <v>4</v>
      </c>
      <c r="D216" s="1025"/>
      <c r="E216" s="1179"/>
      <c r="F216" s="1061" t="str">
        <f>IF(F212=$S$15,$T$13,IF(ROUNDDOWN(F212,0)=$S$13,$U$13,$T$13))</f>
        <v>　レベル　4</v>
      </c>
      <c r="G216" s="2900"/>
      <c r="H216" s="2906"/>
      <c r="I216" s="2906"/>
      <c r="J216" s="2901"/>
      <c r="K216" s="1061" t="str">
        <f>IF(K212=$S$15,$T$13,IF(ROUNDDOWN(K212,0)=$S$13,$U$13,$T$13))</f>
        <v>　レベル　4</v>
      </c>
      <c r="L216" s="2933"/>
      <c r="M216" s="2934"/>
      <c r="N216" s="2934"/>
      <c r="O216" s="2935"/>
    </row>
    <row r="217" spans="2:15" ht="18" hidden="1" customHeight="1">
      <c r="B217" s="1">
        <v>5</v>
      </c>
      <c r="C217" s="1">
        <v>5</v>
      </c>
      <c r="D217" s="1025"/>
      <c r="E217" s="1179"/>
      <c r="F217" s="1072" t="str">
        <f>IF(F212=$S$15,$T$14,IF(ROUNDDOWN(F212,0)=$S$14,$U$14,$T$14))</f>
        <v>　レベル　5</v>
      </c>
      <c r="G217" s="2898" t="s">
        <v>490</v>
      </c>
      <c r="H217" s="2905"/>
      <c r="I217" s="2905"/>
      <c r="J217" s="2899"/>
      <c r="K217" s="1072" t="str">
        <f>IF(K212=$S$15,$T$14,IF(ROUNDDOWN(K212,0)=$S$14,$U$14,$T$14))</f>
        <v>　レベル　5</v>
      </c>
      <c r="L217" s="2925" t="s">
        <v>1767</v>
      </c>
      <c r="M217" s="2944"/>
      <c r="N217" s="2944"/>
      <c r="O217" s="2945"/>
    </row>
    <row r="218" spans="2:15" ht="15.75">
      <c r="B218" s="1079">
        <v>0</v>
      </c>
      <c r="C218" s="1079">
        <v>0</v>
      </c>
      <c r="D218" s="1025"/>
      <c r="E218" s="1026"/>
      <c r="F218" s="1026"/>
      <c r="G218" s="1115"/>
      <c r="H218" s="1115"/>
      <c r="I218" s="1115"/>
      <c r="J218" s="1115"/>
      <c r="K218" s="1115"/>
      <c r="L218" s="1115"/>
      <c r="M218" s="1115"/>
      <c r="N218" s="1115"/>
      <c r="O218" s="1115"/>
    </row>
    <row r="219" spans="2:15" ht="15.75">
      <c r="D219" s="1465">
        <v>2.2000000000000002</v>
      </c>
      <c r="E219" s="1032" t="s">
        <v>491</v>
      </c>
      <c r="F219" s="1036"/>
      <c r="G219" s="1116"/>
      <c r="H219" s="1165"/>
      <c r="I219" s="1145"/>
      <c r="J219" s="1119" t="str">
        <f>IF(OR(F221=0,AND(J220=0,O220=0)),$R$3,"")</f>
        <v/>
      </c>
      <c r="K219" s="1204"/>
      <c r="L219" s="1116"/>
      <c r="M219" s="1165"/>
      <c r="N219" s="1145"/>
      <c r="O219" s="1119"/>
    </row>
    <row r="220" spans="2:15" ht="16.5" thickBot="1">
      <c r="D220" s="1226"/>
      <c r="E220" s="1032"/>
      <c r="F220" s="1042" t="s">
        <v>1768</v>
      </c>
      <c r="G220" s="1043"/>
      <c r="H220" s="1044"/>
      <c r="I220" s="1045" t="s">
        <v>1484</v>
      </c>
      <c r="J220" s="1048">
        <f>重み!M30</f>
        <v>0.2</v>
      </c>
      <c r="K220" s="1042" t="s">
        <v>2123</v>
      </c>
      <c r="L220" s="1043"/>
      <c r="M220" s="1044"/>
      <c r="N220" s="1045" t="s">
        <v>1484</v>
      </c>
      <c r="O220" s="1048">
        <f>重み!N30</f>
        <v>0</v>
      </c>
    </row>
    <row r="221" spans="2:15" ht="16.5" thickBot="1">
      <c r="D221" s="1226"/>
      <c r="E221" s="1032"/>
      <c r="F221" s="1049">
        <v>3</v>
      </c>
      <c r="G221" s="1166" t="s">
        <v>492</v>
      </c>
      <c r="H221" s="1054"/>
      <c r="I221" s="1192" t="s">
        <v>493</v>
      </c>
      <c r="J221" s="1055" t="s">
        <v>1487</v>
      </c>
      <c r="K221" s="1049">
        <v>3</v>
      </c>
      <c r="L221" s="1166" t="s">
        <v>2915</v>
      </c>
      <c r="M221" s="1055"/>
      <c r="N221" s="1166" t="s">
        <v>1769</v>
      </c>
      <c r="O221" s="1171"/>
    </row>
    <row r="222" spans="2:15" ht="15.75" hidden="1">
      <c r="B222" s="1">
        <v>1</v>
      </c>
      <c r="C222" s="1">
        <v>1</v>
      </c>
      <c r="D222" s="1226"/>
      <c r="E222" s="1032"/>
      <c r="F222" s="1167"/>
      <c r="G222" s="1166" t="s">
        <v>1380</v>
      </c>
      <c r="H222" s="1055"/>
      <c r="I222" s="1054"/>
      <c r="J222" s="1055"/>
      <c r="K222" s="1167"/>
      <c r="L222" s="1166" t="s">
        <v>1380</v>
      </c>
      <c r="M222" s="1055"/>
      <c r="N222" s="1166"/>
      <c r="O222" s="1055"/>
    </row>
    <row r="223" spans="2:15" ht="15.75" hidden="1">
      <c r="B223" s="1">
        <v>2</v>
      </c>
      <c r="C223" s="1">
        <v>2</v>
      </c>
      <c r="D223" s="1226"/>
      <c r="E223" s="1032"/>
      <c r="F223" s="1061" t="str">
        <f>IF(F221=$S$15,$T$10,IF(AND($O$3=$U$3,ROUNDDOWN(F221,0)=$S$10),$U$10,$T$10))</f>
        <v>　レベル　1</v>
      </c>
      <c r="G223" s="2896" t="s">
        <v>1770</v>
      </c>
      <c r="H223" s="2914"/>
      <c r="I223" s="1227" t="s">
        <v>1770</v>
      </c>
      <c r="J223" s="1227" t="s">
        <v>1770</v>
      </c>
      <c r="K223" s="1061" t="str">
        <f>IF(K221=$S$15,$T$10,IF(AND($O$3=$U$3,ROUNDDOWN(K221,0)=$S$10),$U$10,$T$10))</f>
        <v>　レベル　1</v>
      </c>
      <c r="L223" s="2896" t="s">
        <v>1770</v>
      </c>
      <c r="M223" s="2914"/>
      <c r="N223" s="2896" t="s">
        <v>494</v>
      </c>
      <c r="O223" s="2914"/>
    </row>
    <row r="224" spans="2:15" ht="15.75" hidden="1" customHeight="1">
      <c r="B224" s="1">
        <v>3</v>
      </c>
      <c r="C224" s="1">
        <v>3</v>
      </c>
      <c r="D224" s="1226"/>
      <c r="E224" s="1032"/>
      <c r="F224" s="1061" t="str">
        <f>IF(F221=$S$15,$T$11,IF(AND($O$3=$U$3,ROUNDDOWN(F221,0)=$S$11),$U$11,$T$11))</f>
        <v>　レベル　2</v>
      </c>
      <c r="G224" s="2900"/>
      <c r="H224" s="2901"/>
      <c r="I224" s="1069"/>
      <c r="J224" s="1069"/>
      <c r="K224" s="1061" t="str">
        <f>IF(K221=$S$15,$T$11,IF(AND($O$3=$U$3,ROUNDDOWN(K221,0)=$S$11),$U$11,$T$11))</f>
        <v>　レベル　2</v>
      </c>
      <c r="L224" s="2900"/>
      <c r="M224" s="2901"/>
      <c r="N224" s="2900" t="s">
        <v>2365</v>
      </c>
      <c r="O224" s="2901"/>
    </row>
    <row r="225" spans="2:15" ht="77.25" hidden="1" customHeight="1">
      <c r="B225" s="1">
        <v>4</v>
      </c>
      <c r="C225" s="1">
        <v>4</v>
      </c>
      <c r="D225" s="1226"/>
      <c r="E225" s="1032"/>
      <c r="F225" s="1061" t="str">
        <f>IF(F221=$S$15,$T$12,IF(AND($O$3=$U$3,ROUNDDOWN(F221,0)=$S$12),$U$12,$T$12))</f>
        <v>■レベル　3</v>
      </c>
      <c r="G225" s="2900" t="s">
        <v>1771</v>
      </c>
      <c r="H225" s="2901"/>
      <c r="I225" s="1069" t="s">
        <v>1772</v>
      </c>
      <c r="J225" s="1069" t="s">
        <v>318</v>
      </c>
      <c r="K225" s="1061" t="str">
        <f>IF(K221=$S$15,$T$12,IF(AND($O$3=$U$3,ROUNDDOWN(K221,0)=$S$12),$U$12,$T$12))</f>
        <v>■レベル　3</v>
      </c>
      <c r="L225" s="2900" t="s">
        <v>1771</v>
      </c>
      <c r="M225" s="2901"/>
      <c r="N225" s="2900" t="s">
        <v>495</v>
      </c>
      <c r="O225" s="2901"/>
    </row>
    <row r="226" spans="2:15" ht="50.25" hidden="1" customHeight="1">
      <c r="B226" s="1">
        <v>5</v>
      </c>
      <c r="C226" s="1">
        <v>5</v>
      </c>
      <c r="D226" s="1226"/>
      <c r="E226" s="1032"/>
      <c r="F226" s="1061" t="str">
        <f>IF(F221=$S$15,$T$13,IF(AND($O$3=$U$3,ROUNDDOWN(F221,0)=$S$13),$U$13,$T$13))</f>
        <v>　レベル　4</v>
      </c>
      <c r="G226" s="2900"/>
      <c r="H226" s="2901"/>
      <c r="I226" s="1069"/>
      <c r="J226" s="1069"/>
      <c r="K226" s="1061" t="str">
        <f>IF(K221=$S$15,$T$13,IF(AND($O$3=$U$3,ROUNDDOWN(K221,0)=$S$13),$U$13,$T$13))</f>
        <v>　レベル　4</v>
      </c>
      <c r="L226" s="2900"/>
      <c r="M226" s="2901"/>
      <c r="N226" s="2900" t="s">
        <v>496</v>
      </c>
      <c r="O226" s="2901"/>
    </row>
    <row r="227" spans="2:15" ht="73.5" hidden="1" customHeight="1">
      <c r="B227" s="1079">
        <v>0</v>
      </c>
      <c r="C227" s="1079">
        <v>0</v>
      </c>
      <c r="D227" s="1226"/>
      <c r="E227" s="1032"/>
      <c r="F227" s="1072" t="str">
        <f>IF(F221=$S$15,$T$14,IF(AND($O$3=$U$3,ROUNDDOWN(F221,0)=$S$14),$U$14,$T$14))</f>
        <v>　レベル　5</v>
      </c>
      <c r="G227" s="2898" t="s">
        <v>319</v>
      </c>
      <c r="H227" s="2899"/>
      <c r="I227" s="1073" t="s">
        <v>320</v>
      </c>
      <c r="J227" s="1073" t="s">
        <v>320</v>
      </c>
      <c r="K227" s="1072" t="str">
        <f>IF(K221=$S$15,$T$14,IF(AND($O$3=$U$3,ROUNDDOWN(K221,0)=$S$14),$U$14,$T$14))</f>
        <v>　レベル　5</v>
      </c>
      <c r="L227" s="2898" t="s">
        <v>319</v>
      </c>
      <c r="M227" s="2899"/>
      <c r="N227" s="2898" t="s">
        <v>321</v>
      </c>
      <c r="O227" s="2899"/>
    </row>
    <row r="228" spans="2:15" ht="15.75" hidden="1">
      <c r="D228" s="1025"/>
      <c r="E228" s="1026"/>
      <c r="F228" s="1168"/>
      <c r="G228" s="1187" t="s">
        <v>1379</v>
      </c>
      <c r="H228" s="1187"/>
      <c r="I228" s="1187"/>
      <c r="J228" s="1207"/>
      <c r="K228" s="1168"/>
      <c r="L228" s="1187" t="s">
        <v>1379</v>
      </c>
      <c r="M228" s="1187"/>
      <c r="N228" s="1187"/>
      <c r="O228" s="1207"/>
    </row>
    <row r="229" spans="2:15" ht="21" customHeight="1">
      <c r="D229" s="1025"/>
      <c r="E229" s="1026"/>
      <c r="F229" s="1169" t="str">
        <f>IF(F221=$S$15,$T$10,IF(AND($O$3&lt;&gt;$U$3,ROUNDDOWN(F221,0)=$S$10),$U$10,$T$10))</f>
        <v>　レベル　1</v>
      </c>
      <c r="G229" s="2896" t="s">
        <v>322</v>
      </c>
      <c r="H229" s="2946"/>
      <c r="I229" s="1227" t="s">
        <v>322</v>
      </c>
      <c r="J229" s="1227" t="s">
        <v>322</v>
      </c>
      <c r="K229" s="1169" t="str">
        <f>IF(K221=$S$15,$T$10,IF(AND($O$3&lt;&gt;$U$3,ROUNDDOWN(K221,0)=$S$10),$U$10,$T$10))</f>
        <v>　レベル　1</v>
      </c>
      <c r="L229" s="2896" t="s">
        <v>322</v>
      </c>
      <c r="M229" s="2902"/>
      <c r="N229" s="2896" t="s">
        <v>323</v>
      </c>
      <c r="O229" s="2914"/>
    </row>
    <row r="230" spans="2:15" ht="15.75" customHeight="1">
      <c r="D230" s="1025"/>
      <c r="E230" s="1026"/>
      <c r="F230" s="1061" t="str">
        <f>IF(F221=$S$15,$T$11,IF(AND($O$3&lt;&gt;$U$3,ROUNDDOWN(F221,0)=$S$11),$U$11,$T$11))</f>
        <v>　レベル　2</v>
      </c>
      <c r="G230" s="1069"/>
      <c r="H230" s="1071"/>
      <c r="I230" s="1069"/>
      <c r="J230" s="1069"/>
      <c r="K230" s="1061" t="str">
        <f>IF(K221=$S$15,$T$11,IF(AND($O$3&lt;&gt;$U$3,ROUNDDOWN(K221,0)=$S$11),$U$11,$T$11))</f>
        <v>　レベル　2</v>
      </c>
      <c r="L230" s="1069"/>
      <c r="M230" s="1071"/>
      <c r="N230" s="2933" t="s">
        <v>2365</v>
      </c>
      <c r="O230" s="2935"/>
    </row>
    <row r="231" spans="2:15" ht="84" customHeight="1">
      <c r="D231" s="1025"/>
      <c r="E231" s="1026"/>
      <c r="F231" s="1061" t="str">
        <f>IF(F221=$S$15,$T$12,IF(AND($O$3&lt;&gt;$U$3,ROUNDDOWN(F221,0)=$S$12),$U$12,$T$12))</f>
        <v>　レベル　3</v>
      </c>
      <c r="G231" s="2900" t="s">
        <v>324</v>
      </c>
      <c r="H231" s="2947"/>
      <c r="I231" s="1069" t="s">
        <v>325</v>
      </c>
      <c r="J231" s="1069" t="s">
        <v>326</v>
      </c>
      <c r="K231" s="1061" t="str">
        <f>IF(K221=$S$15,$T$12,IF(AND($O$3&lt;&gt;$U$3,ROUNDDOWN(K221,0)=$S$12),$U$12,$T$12))</f>
        <v>　レベル　3</v>
      </c>
      <c r="L231" s="2900" t="s">
        <v>327</v>
      </c>
      <c r="M231" s="2943"/>
      <c r="N231" s="2900" t="s">
        <v>737</v>
      </c>
      <c r="O231" s="2901"/>
    </row>
    <row r="232" spans="2:15" ht="48" customHeight="1">
      <c r="D232" s="1025"/>
      <c r="E232" s="1026"/>
      <c r="F232" s="1061" t="str">
        <f>IF(F221=$S$15,$T$13,IF(AND($O$3&lt;&gt;$U$3,ROUNDDOWN(F221,0)=$S$13),$U$13,$T$13))</f>
        <v>　レベル　4</v>
      </c>
      <c r="G232" s="1069"/>
      <c r="H232" s="1071"/>
      <c r="I232" s="1069"/>
      <c r="J232" s="1069"/>
      <c r="K232" s="1061" t="str">
        <f>IF(K221=$S$15,$T$13,IF(AND($O$3&lt;&gt;$U$3,ROUNDDOWN(K221,0)=$S$13),$U$13,$T$13))</f>
        <v>　レベル　4</v>
      </c>
      <c r="L232" s="1069"/>
      <c r="M232" s="1071"/>
      <c r="N232" s="2900" t="s">
        <v>738</v>
      </c>
      <c r="O232" s="2901"/>
    </row>
    <row r="233" spans="2:15" ht="90.75" customHeight="1">
      <c r="D233" s="1025"/>
      <c r="E233" s="1026"/>
      <c r="F233" s="1072" t="str">
        <f>IF(F221=$S$15,$T$14,IF(AND($O$3&lt;&gt;$U$3,ROUNDDOWN(F221,0)=$S$14),$U$14,$T$14))</f>
        <v>　レベル　5</v>
      </c>
      <c r="G233" s="2898" t="s">
        <v>739</v>
      </c>
      <c r="H233" s="2948"/>
      <c r="I233" s="1073" t="s">
        <v>739</v>
      </c>
      <c r="J233" s="1073" t="s">
        <v>2743</v>
      </c>
      <c r="K233" s="1072" t="str">
        <f>IF(K221=$S$15,$T$14,IF(AND($O$3&lt;&gt;$U$3,ROUNDDOWN(K221,0)=$S$14),$U$14,$T$14))</f>
        <v>　レベル　5</v>
      </c>
      <c r="L233" s="2898" t="s">
        <v>739</v>
      </c>
      <c r="M233" s="2928"/>
      <c r="N233" s="2898" t="s">
        <v>133</v>
      </c>
      <c r="O233" s="2899"/>
    </row>
    <row r="234" spans="2:15" ht="13.5" customHeight="1">
      <c r="D234" s="1025"/>
      <c r="E234" s="1026"/>
      <c r="F234" s="1221"/>
      <c r="G234" s="1222"/>
      <c r="H234" s="1222"/>
      <c r="I234" s="1115"/>
      <c r="J234" s="1115"/>
      <c r="K234" s="1115"/>
      <c r="L234" s="1115"/>
      <c r="M234" s="1115"/>
      <c r="N234" s="1115"/>
      <c r="O234" s="1115"/>
    </row>
    <row r="235" spans="2:15" ht="15.75">
      <c r="D235" s="1025"/>
      <c r="E235" s="1026"/>
      <c r="F235" s="1221"/>
      <c r="G235" s="1222"/>
      <c r="H235" s="1222"/>
      <c r="I235" s="1115"/>
      <c r="J235" s="1115"/>
      <c r="K235" s="1115"/>
      <c r="L235" s="1115"/>
      <c r="M235" s="1115"/>
      <c r="N235" s="1115"/>
      <c r="O235" s="1115"/>
    </row>
    <row r="236" spans="2:15" ht="15.75">
      <c r="D236" s="1465">
        <v>2.2999999999999998</v>
      </c>
      <c r="E236" s="1032" t="s">
        <v>291</v>
      </c>
      <c r="F236" s="1036"/>
      <c r="G236" s="1116"/>
      <c r="H236" s="1165"/>
      <c r="I236" s="1145"/>
      <c r="J236" s="1119" t="str">
        <f>IF(OR(F238=0,AND(J237=0,O237=0)),$R$3,"")</f>
        <v/>
      </c>
      <c r="K236" s="1204"/>
      <c r="L236" s="1116"/>
      <c r="M236" s="1165"/>
      <c r="N236" s="1145"/>
      <c r="O236" s="1119"/>
    </row>
    <row r="237" spans="2:15" ht="16.5" thickBot="1">
      <c r="D237" s="1226"/>
      <c r="E237" s="1032"/>
      <c r="F237" s="1042" t="s">
        <v>540</v>
      </c>
      <c r="G237" s="1043"/>
      <c r="H237" s="1044"/>
      <c r="I237" s="1045" t="s">
        <v>1484</v>
      </c>
      <c r="J237" s="1048">
        <f>重み!M31</f>
        <v>0.3</v>
      </c>
      <c r="K237" s="1042" t="s">
        <v>2123</v>
      </c>
      <c r="L237" s="1043"/>
      <c r="M237" s="1044"/>
      <c r="N237" s="1045" t="s">
        <v>1484</v>
      </c>
      <c r="O237" s="1048">
        <f>重み!N31</f>
        <v>0</v>
      </c>
    </row>
    <row r="238" spans="2:15" ht="16.5" thickBot="1">
      <c r="D238" s="1226"/>
      <c r="E238" s="1032"/>
      <c r="F238" s="1049">
        <v>3</v>
      </c>
      <c r="G238" s="1166" t="s">
        <v>2744</v>
      </c>
      <c r="H238" s="1054"/>
      <c r="I238" s="1192" t="s">
        <v>2668</v>
      </c>
      <c r="J238" s="1055"/>
      <c r="K238" s="1049">
        <v>3</v>
      </c>
      <c r="L238" s="1166" t="s">
        <v>2915</v>
      </c>
      <c r="M238" s="1055"/>
      <c r="N238" s="1166" t="s">
        <v>1289</v>
      </c>
      <c r="O238" s="1171"/>
    </row>
    <row r="239" spans="2:15" ht="15.75" hidden="1">
      <c r="B239" s="1">
        <v>1</v>
      </c>
      <c r="C239" s="1">
        <v>1</v>
      </c>
      <c r="D239" s="1226"/>
      <c r="E239" s="1032"/>
      <c r="F239" s="1205"/>
      <c r="G239" s="1166" t="s">
        <v>1380</v>
      </c>
      <c r="H239" s="1054"/>
      <c r="I239" s="1166"/>
      <c r="J239" s="1055"/>
      <c r="K239" s="1205"/>
      <c r="L239" s="1054" t="s">
        <v>1380</v>
      </c>
      <c r="M239" s="1172"/>
      <c r="N239" s="1172"/>
      <c r="O239" s="1173"/>
    </row>
    <row r="240" spans="2:15" ht="53.25" hidden="1" customHeight="1">
      <c r="B240" s="1">
        <v>2</v>
      </c>
      <c r="C240" s="1">
        <v>2</v>
      </c>
      <c r="D240" s="1226"/>
      <c r="E240" s="1032"/>
      <c r="F240" s="1061" t="str">
        <f>IF(F238=$S$15,$T$10,IF(AND($O$3=$U$3,ROUNDDOWN(F238,0)=$S$10),$U$10,$T$10))</f>
        <v>　レベル　1</v>
      </c>
      <c r="G240" s="2896" t="s">
        <v>2185</v>
      </c>
      <c r="H240" s="2902"/>
      <c r="I240" s="2896" t="s">
        <v>2185</v>
      </c>
      <c r="J240" s="2914"/>
      <c r="K240" s="1061" t="str">
        <f>IF(K238=$S$15,$T$10,IF(AND($O$3=$U$3,ROUNDDOWN(K238,0)=$S$10),$U$10,$T$10))</f>
        <v>　レベル　1</v>
      </c>
      <c r="L240" s="2896" t="s">
        <v>2185</v>
      </c>
      <c r="M240" s="2902"/>
      <c r="N240" s="2896" t="s">
        <v>2669</v>
      </c>
      <c r="O240" s="2914"/>
    </row>
    <row r="241" spans="2:15" ht="15.75" hidden="1">
      <c r="B241" s="1">
        <v>3</v>
      </c>
      <c r="C241" s="1">
        <v>3</v>
      </c>
      <c r="D241" s="1226"/>
      <c r="E241" s="1032"/>
      <c r="F241" s="1061" t="str">
        <f>IF(F238=$S$15,$T$11,IF(AND($O$3=$U$3,ROUNDDOWN(F238,0)=$S$11),$U$11,$T$11))</f>
        <v>　レベル　2</v>
      </c>
      <c r="G241" s="1069"/>
      <c r="H241" s="1206"/>
      <c r="I241" s="2900"/>
      <c r="J241" s="2901"/>
      <c r="K241" s="1061" t="str">
        <f>IF(K238=$S$15,$T$11,IF(AND($O$3=$U$3,ROUNDDOWN(K238,0)=$S$11),$U$11,$T$11))</f>
        <v>　レベル　2</v>
      </c>
      <c r="L241" s="1069"/>
      <c r="M241" s="1071"/>
      <c r="N241" s="1069"/>
      <c r="O241" s="1071"/>
    </row>
    <row r="242" spans="2:15" ht="55.5" hidden="1" customHeight="1">
      <c r="B242" s="1">
        <v>4</v>
      </c>
      <c r="C242" s="1">
        <v>4</v>
      </c>
      <c r="D242" s="1226"/>
      <c r="E242" s="1032"/>
      <c r="F242" s="1061" t="str">
        <f>IF(F238=$S$15,$T$12,IF(AND($O$3=$U$3,ROUNDDOWN(F238,0)=$S$12),$U$12,$T$12))</f>
        <v>■レベル　3</v>
      </c>
      <c r="G242" s="2900" t="s">
        <v>2186</v>
      </c>
      <c r="H242" s="2901"/>
      <c r="I242" s="2900" t="s">
        <v>2187</v>
      </c>
      <c r="J242" s="2901"/>
      <c r="K242" s="1061" t="str">
        <f>IF(K238=$S$15,$T$12,IF(AND($O$3=$U$3,ROUNDDOWN(K238,0)=$S$12),$U$12,$T$12))</f>
        <v>■レベル　3</v>
      </c>
      <c r="L242" s="2900" t="s">
        <v>2186</v>
      </c>
      <c r="M242" s="2943"/>
      <c r="N242" s="2900" t="s">
        <v>2670</v>
      </c>
      <c r="O242" s="2901"/>
    </row>
    <row r="243" spans="2:15" ht="15.75" hidden="1">
      <c r="B243" s="1">
        <v>5</v>
      </c>
      <c r="C243" s="1">
        <v>5</v>
      </c>
      <c r="D243" s="1226"/>
      <c r="E243" s="1032"/>
      <c r="F243" s="1061" t="str">
        <f>IF(F238=$S$15,$T$13,IF(AND($O$3=$U$3,ROUNDDOWN(F238,0)=$S$13),$U$13,$T$13))</f>
        <v>　レベル　4</v>
      </c>
      <c r="G243" s="1069"/>
      <c r="H243" s="1206"/>
      <c r="I243" s="2900"/>
      <c r="J243" s="2901"/>
      <c r="K243" s="1061" t="str">
        <f>IF(K238=$S$15,$T$13,IF(AND($O$3=$U$3,ROUNDDOWN(K238,0)=$S$13),$U$13,$T$13))</f>
        <v>　レベル　4</v>
      </c>
      <c r="L243" s="1069"/>
      <c r="M243" s="1071"/>
      <c r="N243" s="2900"/>
      <c r="O243" s="2901"/>
    </row>
    <row r="244" spans="2:15" ht="61.5" hidden="1" customHeight="1">
      <c r="B244" s="1079">
        <v>0</v>
      </c>
      <c r="C244" s="1079">
        <v>0</v>
      </c>
      <c r="D244" s="1226"/>
      <c r="E244" s="1032"/>
      <c r="F244" s="1072" t="str">
        <f>IF(F238=$S$15,$T$14,IF(AND($O$3=$U$3,ROUNDDOWN(F238,0)=$S$14),$U$14,$T$14))</f>
        <v>　レベル　5</v>
      </c>
      <c r="G244" s="2898" t="s">
        <v>2188</v>
      </c>
      <c r="H244" s="2899"/>
      <c r="I244" s="2898" t="s">
        <v>2189</v>
      </c>
      <c r="J244" s="2899"/>
      <c r="K244" s="1072" t="str">
        <f>IF(K238=$S$15,$T$14,IF(AND($O$3=$U$3,ROUNDDOWN(K238,0)=$S$14),$U$14,$T$14))</f>
        <v>　レベル　5</v>
      </c>
      <c r="L244" s="2898" t="s">
        <v>2188</v>
      </c>
      <c r="M244" s="2928"/>
      <c r="N244" s="2898" t="s">
        <v>2190</v>
      </c>
      <c r="O244" s="2899"/>
    </row>
    <row r="245" spans="2:15" ht="15.75" hidden="1">
      <c r="D245" s="1226"/>
      <c r="E245" s="1032"/>
      <c r="F245" s="1228"/>
      <c r="G245" s="1211" t="s">
        <v>1379</v>
      </c>
      <c r="H245" s="1187"/>
      <c r="I245" s="1187"/>
      <c r="J245" s="1207"/>
      <c r="K245" s="1168"/>
      <c r="L245" s="1187" t="s">
        <v>1379</v>
      </c>
      <c r="M245" s="1187"/>
      <c r="N245" s="1187"/>
      <c r="O245" s="1207"/>
    </row>
    <row r="246" spans="2:15" ht="54" customHeight="1">
      <c r="D246" s="1226"/>
      <c r="E246" s="1032"/>
      <c r="F246" s="1169" t="str">
        <f>IF(F238=$S$15,$T$10,IF(AND($O$3&lt;&gt;$U$3,ROUNDDOWN(F238,0)=$S$10),$U$10,$T$10))</f>
        <v>　レベル　1</v>
      </c>
      <c r="G246" s="2896" t="s">
        <v>2191</v>
      </c>
      <c r="H246" s="2914"/>
      <c r="I246" s="2896" t="s">
        <v>2191</v>
      </c>
      <c r="J246" s="2902"/>
      <c r="K246" s="1169" t="str">
        <f>IF(K238=$S$15,$T$10,IF(AND($O$3&lt;&gt;$U$3,ROUNDDOWN(K238,0)=$S$10),$U$10,$T$10))</f>
        <v>　レベル　1</v>
      </c>
      <c r="L246" s="2896" t="s">
        <v>2191</v>
      </c>
      <c r="M246" s="2902"/>
      <c r="N246" s="2896" t="s">
        <v>2192</v>
      </c>
      <c r="O246" s="2914"/>
    </row>
    <row r="247" spans="2:15" ht="15.75">
      <c r="D247" s="1226"/>
      <c r="E247" s="1032"/>
      <c r="F247" s="1061" t="str">
        <f>IF(F238=$S$15,$T$11,IF(AND($O$3&lt;&gt;$U$3,ROUNDDOWN(F238,0)=$S$11),$U$11,$T$11))</f>
        <v>　レベル　2</v>
      </c>
      <c r="G247" s="1069"/>
      <c r="H247" s="1206"/>
      <c r="I247" s="1069"/>
      <c r="J247" s="1071"/>
      <c r="K247" s="1061" t="str">
        <f>IF(K238=$S$15,$T$11,IF(AND($O$3&lt;&gt;$U$3,ROUNDDOWN(K238,0)=$S$11),$U$11,$T$11))</f>
        <v>　レベル　2</v>
      </c>
      <c r="L247" s="1069"/>
      <c r="M247" s="1071"/>
      <c r="N247" s="1069"/>
      <c r="O247" s="1071"/>
    </row>
    <row r="248" spans="2:15" ht="77.25" customHeight="1">
      <c r="D248" s="1226"/>
      <c r="E248" s="1032"/>
      <c r="F248" s="1061" t="str">
        <f>IF(F238=$S$15,$T$12,IF(AND($O$3&lt;&gt;$U$3,ROUNDDOWN(F238,0)=$S$12),$U$12,$T$12))</f>
        <v>　レベル　3</v>
      </c>
      <c r="G248" s="2900" t="s">
        <v>886</v>
      </c>
      <c r="H248" s="2901"/>
      <c r="I248" s="2900" t="s">
        <v>887</v>
      </c>
      <c r="J248" s="2943"/>
      <c r="K248" s="1061" t="str">
        <f>IF(K238=$S$15,$T$12,IF(AND($O$3&lt;&gt;$U$3,ROUNDDOWN(K238,0)=$S$12),$U$12,$T$12))</f>
        <v>　レベル　3</v>
      </c>
      <c r="L248" s="2900" t="s">
        <v>886</v>
      </c>
      <c r="M248" s="2943"/>
      <c r="N248" s="2900" t="s">
        <v>1713</v>
      </c>
      <c r="O248" s="2901"/>
    </row>
    <row r="249" spans="2:15" ht="15.75">
      <c r="D249" s="1226"/>
      <c r="E249" s="1032"/>
      <c r="F249" s="1061" t="str">
        <f>IF(F238=$S$15,$T$13,IF(AND($O$3&lt;&gt;$U$3,ROUNDDOWN(F238,0)=$S$13),$U$13,$T$13))</f>
        <v>　レベル　4</v>
      </c>
      <c r="G249" s="1069"/>
      <c r="H249" s="1206"/>
      <c r="I249" s="1069"/>
      <c r="J249" s="1071"/>
      <c r="K249" s="1061" t="str">
        <f>IF(K238=$S$15,$T$13,IF(AND($O$3&lt;&gt;$U$3,ROUNDDOWN(K238,0)=$S$13),$U$13,$T$13))</f>
        <v>　レベル　4</v>
      </c>
      <c r="L249" s="1069"/>
      <c r="M249" s="1071"/>
      <c r="N249" s="2900"/>
      <c r="O249" s="2901"/>
    </row>
    <row r="250" spans="2:15" ht="81" customHeight="1">
      <c r="D250" s="1226"/>
      <c r="E250" s="1032"/>
      <c r="F250" s="1072" t="str">
        <f>IF(F238=$S$15,$T$14,IF(AND($O$3&lt;&gt;$U$3,ROUNDDOWN(F238,0)=$S$14),$U$14,$T$14))</f>
        <v>　レベル　5</v>
      </c>
      <c r="G250" s="2898" t="s">
        <v>1714</v>
      </c>
      <c r="H250" s="2899"/>
      <c r="I250" s="2898" t="s">
        <v>2671</v>
      </c>
      <c r="J250" s="2928"/>
      <c r="K250" s="1072" t="str">
        <f>IF(K238=$S$15,$T$14,IF(AND($O$3&lt;&gt;$U$3,ROUNDDOWN(K238,0)=$S$14),$U$14,$T$14))</f>
        <v>　レベル　5</v>
      </c>
      <c r="L250" s="2898" t="s">
        <v>1715</v>
      </c>
      <c r="M250" s="2928"/>
      <c r="N250" s="2898" t="s">
        <v>1716</v>
      </c>
      <c r="O250" s="2899"/>
    </row>
    <row r="251" spans="2:15" ht="15.75">
      <c r="D251" s="1025"/>
      <c r="E251" s="1179"/>
      <c r="F251" s="1179"/>
      <c r="G251" s="1229" t="s">
        <v>1717</v>
      </c>
      <c r="H251" s="1230"/>
      <c r="I251" s="1230"/>
      <c r="J251" s="1230"/>
      <c r="K251" s="1230"/>
      <c r="L251" s="1230"/>
      <c r="M251" s="1230"/>
      <c r="N251" s="1230"/>
      <c r="O251" s="1230"/>
    </row>
    <row r="252" spans="2:15" ht="15.75" hidden="1">
      <c r="D252" s="1025"/>
      <c r="E252" s="1179"/>
      <c r="F252" s="1179"/>
      <c r="G252" s="1229"/>
      <c r="H252" s="1230"/>
      <c r="I252" s="1230"/>
      <c r="J252" s="1230"/>
      <c r="K252" s="1230"/>
      <c r="L252" s="1230"/>
      <c r="M252" s="1230"/>
      <c r="N252" s="1230"/>
      <c r="O252" s="1230"/>
    </row>
    <row r="253" spans="2:15" ht="15.75" hidden="1">
      <c r="D253" s="1025"/>
      <c r="E253" s="1179"/>
      <c r="F253" s="1036" t="s">
        <v>2672</v>
      </c>
      <c r="G253" s="1116"/>
      <c r="H253" s="1165"/>
      <c r="I253" s="1145"/>
      <c r="J253" s="1119" t="str">
        <f>IF(OR(F255=0,J254=0),$R$3,"")</f>
        <v>&lt;評価しない&gt;</v>
      </c>
      <c r="K253" s="1204" t="s">
        <v>2673</v>
      </c>
      <c r="L253" s="1116"/>
      <c r="M253" s="1165"/>
      <c r="N253" s="1145"/>
      <c r="O253" s="1119" t="str">
        <f>IF(OR(K255=0,O254=0),$R$3,"")</f>
        <v>&lt;評価しない&gt;</v>
      </c>
    </row>
    <row r="254" spans="2:15" ht="15.75" hidden="1">
      <c r="D254" s="1025"/>
      <c r="E254" s="1179"/>
      <c r="F254" s="1042" t="s">
        <v>1718</v>
      </c>
      <c r="G254" s="1043"/>
      <c r="H254" s="1044"/>
      <c r="I254" s="1045" t="s">
        <v>1484</v>
      </c>
      <c r="J254" s="1048">
        <f>重み!M32</f>
        <v>0</v>
      </c>
      <c r="K254" s="1042" t="s">
        <v>2174</v>
      </c>
      <c r="L254" s="1043"/>
      <c r="M254" s="1044"/>
      <c r="N254" s="1045" t="s">
        <v>1484</v>
      </c>
      <c r="O254" s="1048">
        <f>重み!M33</f>
        <v>0</v>
      </c>
    </row>
    <row r="255" spans="2:15" ht="16.5" hidden="1" thickBot="1">
      <c r="D255" s="1025"/>
      <c r="E255" s="1179"/>
      <c r="F255" s="1049">
        <v>0</v>
      </c>
      <c r="G255" s="1053" t="s">
        <v>2674</v>
      </c>
      <c r="H255" s="1054"/>
      <c r="I255" s="1054"/>
      <c r="J255" s="1192"/>
      <c r="K255" s="1049">
        <v>0</v>
      </c>
      <c r="L255" s="1053" t="s">
        <v>2674</v>
      </c>
      <c r="M255" s="1054"/>
      <c r="N255" s="1054"/>
      <c r="O255" s="1192"/>
    </row>
    <row r="256" spans="2:15" ht="15.75" hidden="1">
      <c r="B256" s="1">
        <v>1</v>
      </c>
      <c r="C256" s="1">
        <v>1</v>
      </c>
      <c r="D256" s="1025"/>
      <c r="E256" s="1179"/>
      <c r="F256" s="1056" t="str">
        <f>IF(F255=$S$15,$T$10,IF(ROUNDDOWN(F255,0)=$S$10,$U$10,$T$10))</f>
        <v>　レベル　1</v>
      </c>
      <c r="G256" s="2896" t="s">
        <v>1719</v>
      </c>
      <c r="H256" s="2916"/>
      <c r="I256" s="2916"/>
      <c r="J256" s="2902"/>
      <c r="K256" s="1056" t="str">
        <f>IF(K255=$S$15,$T$10,IF(ROUNDDOWN(K255,0)=$S$10,$U$10,$T$10))</f>
        <v>　レベル　1</v>
      </c>
      <c r="L256" s="2896" t="s">
        <v>2675</v>
      </c>
      <c r="M256" s="2916"/>
      <c r="N256" s="2916"/>
      <c r="O256" s="2902"/>
    </row>
    <row r="257" spans="2:15" ht="15.75" hidden="1">
      <c r="B257" s="1">
        <v>2</v>
      </c>
      <c r="C257" s="1">
        <v>2</v>
      </c>
      <c r="D257" s="1025"/>
      <c r="E257" s="1179"/>
      <c r="F257" s="1061" t="str">
        <f>IF(F255=$S$15,$T$11,IF(ROUNDDOWN(F255,0)=$S$11,$U$11,$T$11))</f>
        <v>　レベル　2</v>
      </c>
      <c r="G257" s="2900"/>
      <c r="H257" s="2906"/>
      <c r="I257" s="2906"/>
      <c r="J257" s="2901"/>
      <c r="K257" s="1061" t="str">
        <f>IF(K255=$S$15,$T$11,IF(ROUNDDOWN(K255,0)=$S$11,$U$11,$T$11))</f>
        <v>　レベル　2</v>
      </c>
      <c r="L257" s="2900" t="s">
        <v>2676</v>
      </c>
      <c r="M257" s="2906"/>
      <c r="N257" s="2906"/>
      <c r="O257" s="2901"/>
    </row>
    <row r="258" spans="2:15" ht="15.75" hidden="1">
      <c r="B258" s="1">
        <v>3</v>
      </c>
      <c r="C258" s="1">
        <v>3</v>
      </c>
      <c r="D258" s="1025"/>
      <c r="E258" s="1179"/>
      <c r="F258" s="1061" t="str">
        <f>IF(F255=$S$15,$T$12,IF(ROUNDDOWN(F255,0)=$S$12,$U$12,$T$12))</f>
        <v>　レベル　3</v>
      </c>
      <c r="G258" s="2900" t="s">
        <v>1720</v>
      </c>
      <c r="H258" s="2906"/>
      <c r="I258" s="2906"/>
      <c r="J258" s="2901"/>
      <c r="K258" s="1061" t="str">
        <f>IF(K255=$S$15,$T$12,IF(ROUNDDOWN(K255,0)=$S$12,$U$12,$T$12))</f>
        <v>　レベル　3</v>
      </c>
      <c r="L258" s="2900" t="s">
        <v>2677</v>
      </c>
      <c r="M258" s="2906"/>
      <c r="N258" s="2906"/>
      <c r="O258" s="2901"/>
    </row>
    <row r="259" spans="2:15" ht="15.75" hidden="1">
      <c r="B259" s="1">
        <v>4</v>
      </c>
      <c r="C259" s="1">
        <v>4</v>
      </c>
      <c r="D259" s="1025"/>
      <c r="E259" s="1179"/>
      <c r="F259" s="1061" t="str">
        <f>IF(F255=$S$15,$T$13,IF(ROUNDDOWN(F255,0)=$S$13,$U$13,$T$13))</f>
        <v>　レベル　4</v>
      </c>
      <c r="G259" s="2900"/>
      <c r="H259" s="2906"/>
      <c r="I259" s="2906"/>
      <c r="J259" s="2901"/>
      <c r="K259" s="1061" t="str">
        <f>IF(K255=$S$15,$T$13,IF(ROUNDDOWN(K255,0)=$S$13,$U$13,$T$13))</f>
        <v>　レベル　4</v>
      </c>
      <c r="L259" s="2900" t="s">
        <v>2678</v>
      </c>
      <c r="M259" s="2906"/>
      <c r="N259" s="2906"/>
      <c r="O259" s="2901"/>
    </row>
    <row r="260" spans="2:15" ht="15.75" hidden="1">
      <c r="B260" s="1">
        <v>5</v>
      </c>
      <c r="C260" s="1">
        <v>5</v>
      </c>
      <c r="D260" s="1025"/>
      <c r="E260" s="1179"/>
      <c r="F260" s="1072" t="str">
        <f>IF(F255=$S$15,$T$14,IF(ROUNDDOWN(F255,0)=$S$14,$U$14,$T$14))</f>
        <v>　レベル　5</v>
      </c>
      <c r="G260" s="2898" t="s">
        <v>2679</v>
      </c>
      <c r="H260" s="2905"/>
      <c r="I260" s="2905"/>
      <c r="J260" s="2899"/>
      <c r="K260" s="1072" t="str">
        <f>IF(K255=$S$15,$T$14,IF(ROUNDDOWN(K255,0)=$S$14,$U$14,$T$14))</f>
        <v>　レベル　5</v>
      </c>
      <c r="L260" s="2898" t="s">
        <v>2680</v>
      </c>
      <c r="M260" s="2905"/>
      <c r="N260" s="2905"/>
      <c r="O260" s="2899"/>
    </row>
    <row r="261" spans="2:15" ht="15.75">
      <c r="B261" s="1079">
        <v>0</v>
      </c>
      <c r="C261" s="1079">
        <v>0</v>
      </c>
      <c r="D261" s="1025"/>
      <c r="E261" s="1179"/>
      <c r="F261" s="1179"/>
      <c r="G261" s="1229"/>
      <c r="H261" s="1230"/>
      <c r="I261" s="1230"/>
      <c r="J261" s="1230"/>
      <c r="K261" s="1230"/>
      <c r="L261" s="1230"/>
      <c r="M261" s="1230"/>
      <c r="N261" s="1230"/>
      <c r="O261" s="1230"/>
    </row>
    <row r="262" spans="2:15" ht="15.75">
      <c r="D262" s="1465">
        <v>3</v>
      </c>
      <c r="E262" s="1162" t="s">
        <v>979</v>
      </c>
      <c r="F262" s="1033"/>
      <c r="G262" s="1164"/>
      <c r="H262" s="1164"/>
      <c r="I262" s="1164"/>
      <c r="J262" s="1164"/>
      <c r="K262" s="1164"/>
      <c r="L262" s="1164"/>
      <c r="M262" s="1164"/>
      <c r="N262" s="1164"/>
      <c r="O262" s="1164"/>
    </row>
    <row r="263" spans="2:15" ht="15.75">
      <c r="D263" s="1465">
        <v>3.1</v>
      </c>
      <c r="E263" s="1162" t="s">
        <v>980</v>
      </c>
      <c r="F263" s="1033"/>
      <c r="G263" s="1163"/>
      <c r="H263" s="1164"/>
      <c r="I263" s="1231"/>
      <c r="J263" s="1231"/>
      <c r="K263" s="1164"/>
      <c r="L263" s="1163"/>
      <c r="M263" s="1164"/>
      <c r="N263" s="1164"/>
      <c r="O263" s="1164"/>
    </row>
    <row r="264" spans="2:15" ht="15.75">
      <c r="D264" s="1025"/>
      <c r="E264" s="1030"/>
      <c r="F264" s="1036" t="s">
        <v>981</v>
      </c>
      <c r="G264" s="1116"/>
      <c r="H264" s="1165"/>
      <c r="I264" s="1145"/>
      <c r="J264" s="1119" t="str">
        <f>IF(OR(F266=0,AND(J265=0,O265=0)),$R$3,"")</f>
        <v/>
      </c>
      <c r="K264" s="1204"/>
      <c r="L264" s="1116"/>
      <c r="M264" s="1165"/>
      <c r="N264" s="1145"/>
      <c r="O264" s="1119"/>
    </row>
    <row r="265" spans="2:15" ht="16.5" thickBot="1">
      <c r="D265" s="1025"/>
      <c r="E265" s="1030"/>
      <c r="F265" s="1042" t="s">
        <v>1903</v>
      </c>
      <c r="G265" s="1043"/>
      <c r="H265" s="1044"/>
      <c r="I265" s="1045" t="s">
        <v>1484</v>
      </c>
      <c r="J265" s="1048">
        <f>重み!M36</f>
        <v>0.6</v>
      </c>
      <c r="K265" s="1042" t="s">
        <v>2123</v>
      </c>
      <c r="L265" s="1043"/>
      <c r="M265" s="1044"/>
      <c r="N265" s="1045" t="s">
        <v>1484</v>
      </c>
      <c r="O265" s="1048">
        <f>重み!N36</f>
        <v>0</v>
      </c>
    </row>
    <row r="266" spans="2:15" ht="16.5" thickBot="1">
      <c r="D266" s="1025"/>
      <c r="E266" s="1030"/>
      <c r="F266" s="1049">
        <v>3</v>
      </c>
      <c r="G266" s="1166" t="s">
        <v>982</v>
      </c>
      <c r="H266" s="1054"/>
      <c r="I266" s="1054"/>
      <c r="J266" s="1055"/>
      <c r="K266" s="1049">
        <v>3</v>
      </c>
      <c r="L266" s="1166" t="s">
        <v>1219</v>
      </c>
      <c r="M266" s="1055"/>
      <c r="N266" s="1166" t="s">
        <v>2054</v>
      </c>
      <c r="O266" s="1055"/>
    </row>
    <row r="267" spans="2:15" ht="15.75">
      <c r="B267" s="1">
        <v>1</v>
      </c>
      <c r="C267" s="1">
        <v>1</v>
      </c>
      <c r="D267" s="1025"/>
      <c r="E267" s="1030"/>
      <c r="F267" s="1056" t="str">
        <f>IF(F266=$S$15,$T$10,IF(ROUNDDOWN(F266,0)=$S$10,$U$10,$T$10))</f>
        <v>　レベル　1</v>
      </c>
      <c r="G267" s="2896" t="s">
        <v>983</v>
      </c>
      <c r="H267" s="2916"/>
      <c r="I267" s="2916"/>
      <c r="J267" s="2902"/>
      <c r="K267" s="1056" t="str">
        <f>IF(K266=$S$15,$T$10,IF(ROUNDDOWN(K266,0)=$S$10,$U$10,$T$10))</f>
        <v>　レベル　1</v>
      </c>
      <c r="L267" s="2896" t="s">
        <v>1721</v>
      </c>
      <c r="M267" s="2914"/>
      <c r="N267" s="2896" t="s">
        <v>984</v>
      </c>
      <c r="O267" s="2914"/>
    </row>
    <row r="268" spans="2:15" ht="15.75" customHeight="1">
      <c r="B268" s="1">
        <v>2</v>
      </c>
      <c r="C268" s="1">
        <v>2</v>
      </c>
      <c r="D268" s="1025"/>
      <c r="E268" s="1030"/>
      <c r="F268" s="1061" t="str">
        <f>IF(F266=$S$15,$T$11,IF(ROUNDDOWN(F266,0)=$S$11,$U$11,$T$11))</f>
        <v>　レベル　2</v>
      </c>
      <c r="G268" s="2900" t="s">
        <v>985</v>
      </c>
      <c r="H268" s="2917"/>
      <c r="I268" s="2917"/>
      <c r="J268" s="2943"/>
      <c r="K268" s="1061" t="str">
        <f>IF(K266=$S$15,$T$11,IF(ROUNDDOWN(K266,0)=$S$11,$U$11,$T$11))</f>
        <v>　レベル　2</v>
      </c>
      <c r="L268" s="2900" t="s">
        <v>986</v>
      </c>
      <c r="M268" s="2901"/>
      <c r="N268" s="2900" t="s">
        <v>987</v>
      </c>
      <c r="O268" s="2901"/>
    </row>
    <row r="269" spans="2:15" ht="15.75" customHeight="1">
      <c r="B269" s="1">
        <v>3</v>
      </c>
      <c r="C269" s="1">
        <v>3</v>
      </c>
      <c r="D269" s="1025"/>
      <c r="E269" s="1030"/>
      <c r="F269" s="1061" t="str">
        <f>IF(F266=$S$15,$T$12,IF(ROUNDDOWN(F266,0)=$S$12,$U$12,$T$12))</f>
        <v>■レベル　3</v>
      </c>
      <c r="G269" s="2933" t="s">
        <v>988</v>
      </c>
      <c r="H269" s="2934"/>
      <c r="I269" s="2934"/>
      <c r="J269" s="2935"/>
      <c r="K269" s="1061" t="str">
        <f>IF(K266=$S$15,$T$12,IF(ROUNDDOWN(K266,0)=$S$12,$U$12,$T$12))</f>
        <v>■レベル　3</v>
      </c>
      <c r="L269" s="2900" t="s">
        <v>1722</v>
      </c>
      <c r="M269" s="2901"/>
      <c r="N269" s="2900" t="s">
        <v>985</v>
      </c>
      <c r="O269" s="2901"/>
    </row>
    <row r="270" spans="2:15" ht="15.75" customHeight="1">
      <c r="B270" s="1">
        <v>4</v>
      </c>
      <c r="C270" s="1">
        <v>4</v>
      </c>
      <c r="D270" s="1025"/>
      <c r="E270" s="1030"/>
      <c r="F270" s="1061" t="str">
        <f>IF(F266=$S$15,$T$13,IF(ROUNDDOWN(F266,0)=$S$13,$U$13,$T$13))</f>
        <v>　レベル　4</v>
      </c>
      <c r="G270" s="2900" t="s">
        <v>989</v>
      </c>
      <c r="H270" s="2917"/>
      <c r="I270" s="2917"/>
      <c r="J270" s="2943"/>
      <c r="K270" s="1061" t="str">
        <f>IF(K266=$S$15,$T$13,IF(ROUNDDOWN(K266,0)=$S$13,$U$13,$T$13))</f>
        <v>　レベル　4</v>
      </c>
      <c r="L270" s="2900" t="s">
        <v>3101</v>
      </c>
      <c r="M270" s="2901"/>
      <c r="N270" s="2900" t="s">
        <v>988</v>
      </c>
      <c r="O270" s="2901"/>
    </row>
    <row r="271" spans="2:15" ht="15.75">
      <c r="B271" s="1">
        <v>5</v>
      </c>
      <c r="C271" s="1">
        <v>5</v>
      </c>
      <c r="D271" s="1025"/>
      <c r="E271" s="1030"/>
      <c r="F271" s="1072" t="str">
        <f>IF(F266=$S$15,$T$14,IF(ROUNDDOWN(F266,0)=$S$14,$U$14,$T$14))</f>
        <v>　レベル　5</v>
      </c>
      <c r="G271" s="2925" t="s">
        <v>990</v>
      </c>
      <c r="H271" s="2944"/>
      <c r="I271" s="2944"/>
      <c r="J271" s="2945"/>
      <c r="K271" s="1072" t="str">
        <f>IF(K266=$S$15,$T$14,IF(ROUNDDOWN(K266,0)=$S$14,$U$14,$T$14))</f>
        <v>　レベル　5</v>
      </c>
      <c r="L271" s="2898" t="s">
        <v>3102</v>
      </c>
      <c r="M271" s="2899"/>
      <c r="N271" s="2898" t="s">
        <v>3103</v>
      </c>
      <c r="O271" s="2899"/>
    </row>
    <row r="272" spans="2:15" ht="15.75">
      <c r="B272" s="1079">
        <v>0</v>
      </c>
      <c r="C272" s="1079">
        <v>0</v>
      </c>
      <c r="D272" s="1025"/>
      <c r="E272" s="1030"/>
      <c r="F272" s="1200"/>
      <c r="G272" s="1201"/>
      <c r="H272" s="1182"/>
      <c r="I272" s="1201"/>
      <c r="J272" s="1201"/>
      <c r="K272" s="1202"/>
      <c r="L272" s="1203"/>
      <c r="M272" s="1203"/>
      <c r="N272" s="1201"/>
      <c r="O272" s="1201"/>
    </row>
    <row r="273" spans="2:15" ht="15.75">
      <c r="D273" s="1025"/>
      <c r="E273" s="1030"/>
      <c r="F273" s="1036" t="s">
        <v>991</v>
      </c>
      <c r="G273" s="1116"/>
      <c r="H273" s="1165"/>
      <c r="I273" s="1145"/>
      <c r="J273" s="1119" t="str">
        <f>IF(OR(F275=0,J274=0),$R$3,"")</f>
        <v>&lt;評価しない&gt;</v>
      </c>
      <c r="K273" s="1202"/>
      <c r="L273" s="1203"/>
      <c r="M273" s="1203"/>
      <c r="N273" s="1201"/>
      <c r="O273" s="1201"/>
    </row>
    <row r="274" spans="2:15" ht="16.5" thickBot="1">
      <c r="D274" s="1025"/>
      <c r="E274" s="1030"/>
      <c r="F274" s="1042" t="s">
        <v>3104</v>
      </c>
      <c r="G274" s="1043"/>
      <c r="H274" s="1044"/>
      <c r="I274" s="1045" t="s">
        <v>1484</v>
      </c>
      <c r="J274" s="1048">
        <f>重み!N37</f>
        <v>0</v>
      </c>
      <c r="K274" s="1202"/>
      <c r="L274" s="1203"/>
      <c r="M274" s="1203"/>
      <c r="N274" s="1201"/>
      <c r="O274" s="1201"/>
    </row>
    <row r="275" spans="2:15" ht="16.5" thickBot="1">
      <c r="D275" s="1025"/>
      <c r="E275" s="1030"/>
      <c r="F275" s="1049">
        <v>3</v>
      </c>
      <c r="G275" s="1166" t="s">
        <v>2054</v>
      </c>
      <c r="H275" s="1054"/>
      <c r="I275" s="1054"/>
      <c r="J275" s="1055"/>
      <c r="K275" s="1202"/>
      <c r="L275" s="1203"/>
      <c r="M275" s="1203"/>
      <c r="N275" s="1201"/>
      <c r="O275" s="1201"/>
    </row>
    <row r="276" spans="2:15" ht="15.75">
      <c r="B276" s="1">
        <v>1</v>
      </c>
      <c r="C276" s="1">
        <v>1</v>
      </c>
      <c r="D276" s="1025"/>
      <c r="E276" s="1030"/>
      <c r="F276" s="1056" t="str">
        <f>IF(F275=$S$15,$T$10,IF(ROUNDDOWN(F275,0)=$S$10,$U$10,$T$10))</f>
        <v>　レベル　1</v>
      </c>
      <c r="G276" s="2896" t="s">
        <v>992</v>
      </c>
      <c r="H276" s="2916"/>
      <c r="I276" s="2916"/>
      <c r="J276" s="2902"/>
      <c r="K276" s="1202"/>
      <c r="L276" s="1203"/>
      <c r="M276" s="1203"/>
      <c r="N276" s="1201"/>
      <c r="O276" s="1201"/>
    </row>
    <row r="277" spans="2:15" ht="15.75">
      <c r="B277" s="1" t="s">
        <v>3105</v>
      </c>
      <c r="C277" s="1">
        <v>2</v>
      </c>
      <c r="D277" s="1025"/>
      <c r="E277" s="1030"/>
      <c r="F277" s="1061" t="str">
        <f>IF(F275=$S$15,$T$11,IF(ROUNDDOWN(F275,0)=$S$11,$U$11,$T$11))</f>
        <v>　レベル　2</v>
      </c>
      <c r="G277" s="2900" t="s">
        <v>2365</v>
      </c>
      <c r="H277" s="2917"/>
      <c r="I277" s="2917"/>
      <c r="J277" s="2943"/>
      <c r="K277" s="1202"/>
      <c r="L277" s="1203"/>
      <c r="M277" s="1203"/>
      <c r="N277" s="1201"/>
      <c r="O277" s="1201"/>
    </row>
    <row r="278" spans="2:15" ht="15.75">
      <c r="B278" s="1">
        <v>3</v>
      </c>
      <c r="C278" s="1">
        <v>3</v>
      </c>
      <c r="D278" s="1025"/>
      <c r="E278" s="1030"/>
      <c r="F278" s="1061" t="str">
        <f>IF(F275=$S$15,$T$12,IF(ROUNDDOWN(F275,0)=$S$12,$U$12,$T$12))</f>
        <v>■レベル　3</v>
      </c>
      <c r="G278" s="2900" t="s">
        <v>993</v>
      </c>
      <c r="H278" s="2917"/>
      <c r="I278" s="2917"/>
      <c r="J278" s="2943"/>
      <c r="K278" s="1202"/>
      <c r="L278" s="1203"/>
      <c r="M278" s="1203"/>
      <c r="N278" s="1201"/>
      <c r="O278" s="1201"/>
    </row>
    <row r="279" spans="2:15" ht="15.75">
      <c r="B279" s="1" t="s">
        <v>3105</v>
      </c>
      <c r="C279" s="1">
        <v>4</v>
      </c>
      <c r="D279" s="1025"/>
      <c r="E279" s="1030"/>
      <c r="F279" s="1061" t="str">
        <f>IF(F275=$S$15,$T$13,IF(ROUNDDOWN(F275,0)=$S$13,$U$13,$T$13))</f>
        <v>　レベル　4</v>
      </c>
      <c r="G279" s="2900" t="s">
        <v>2365</v>
      </c>
      <c r="H279" s="2917"/>
      <c r="I279" s="2917"/>
      <c r="J279" s="2943"/>
      <c r="K279" s="1202"/>
      <c r="L279" s="1203"/>
      <c r="M279" s="1203"/>
      <c r="N279" s="1201"/>
      <c r="O279" s="1201"/>
    </row>
    <row r="280" spans="2:15" ht="15.75">
      <c r="B280" s="1">
        <v>5</v>
      </c>
      <c r="C280" s="1">
        <v>5</v>
      </c>
      <c r="D280" s="1025"/>
      <c r="E280" s="1030"/>
      <c r="F280" s="1072" t="str">
        <f>IF(F275=$S$15,$T$14,IF(ROUNDDOWN(F275,0)=$S$14,$U$14,$T$14))</f>
        <v>　レベル　5</v>
      </c>
      <c r="G280" s="2925" t="s">
        <v>994</v>
      </c>
      <c r="H280" s="2944"/>
      <c r="I280" s="2944"/>
      <c r="J280" s="2945"/>
      <c r="K280" s="1202"/>
      <c r="L280" s="1203"/>
      <c r="M280" s="1203"/>
      <c r="N280" s="1201"/>
      <c r="O280" s="1201"/>
    </row>
    <row r="281" spans="2:15" ht="15.75">
      <c r="B281" s="1079">
        <v>0</v>
      </c>
      <c r="C281" s="1079">
        <v>0</v>
      </c>
      <c r="D281" s="1025"/>
      <c r="E281" s="1030"/>
      <c r="F281" s="1200"/>
      <c r="G281" s="1201"/>
      <c r="H281" s="1182"/>
      <c r="I281" s="1201"/>
      <c r="J281" s="1201"/>
      <c r="K281" s="1202"/>
      <c r="L281" s="1203"/>
      <c r="M281" s="1203"/>
      <c r="N281" s="1201"/>
      <c r="O281" s="1201"/>
    </row>
    <row r="282" spans="2:15" ht="15.75">
      <c r="D282" s="1025"/>
      <c r="E282" s="1030"/>
      <c r="F282" s="1036" t="s">
        <v>995</v>
      </c>
      <c r="G282" s="1116"/>
      <c r="H282" s="1165"/>
      <c r="I282" s="1145"/>
      <c r="J282" s="1119" t="str">
        <f>IF(OR(F284=0,AND(J283=0,O283=0)),$R$3,"")</f>
        <v/>
      </c>
      <c r="K282" s="1204"/>
      <c r="L282" s="1116"/>
      <c r="M282" s="1165"/>
      <c r="N282" s="1145"/>
      <c r="O282" s="1119"/>
    </row>
    <row r="283" spans="2:15" ht="16.5" thickBot="1">
      <c r="D283" s="1025"/>
      <c r="E283" s="1178"/>
      <c r="F283" s="1042" t="s">
        <v>3106</v>
      </c>
      <c r="G283" s="1043"/>
      <c r="H283" s="1044"/>
      <c r="I283" s="1045" t="s">
        <v>1484</v>
      </c>
      <c r="J283" s="1048">
        <f>重み!M38</f>
        <v>0.4</v>
      </c>
      <c r="K283" s="1042" t="s">
        <v>2123</v>
      </c>
      <c r="L283" s="1043"/>
      <c r="M283" s="1044"/>
      <c r="N283" s="1045" t="s">
        <v>1484</v>
      </c>
      <c r="O283" s="1048">
        <f>重み!N38</f>
        <v>0</v>
      </c>
    </row>
    <row r="284" spans="2:15" ht="16.5" thickBot="1">
      <c r="D284" s="1025"/>
      <c r="E284" s="1178"/>
      <c r="F284" s="1049">
        <v>3</v>
      </c>
      <c r="G284" s="1166" t="s">
        <v>996</v>
      </c>
      <c r="H284" s="1054"/>
      <c r="I284" s="1166" t="s">
        <v>997</v>
      </c>
      <c r="J284" s="1055"/>
      <c r="K284" s="1049">
        <v>3</v>
      </c>
      <c r="L284" s="1166" t="s">
        <v>998</v>
      </c>
      <c r="M284" s="1055"/>
      <c r="N284" s="1166"/>
      <c r="O284" s="1171"/>
    </row>
    <row r="285" spans="2:15" ht="15.75" customHeight="1">
      <c r="B285" s="1" t="s">
        <v>3107</v>
      </c>
      <c r="C285" s="1" t="s">
        <v>3107</v>
      </c>
      <c r="D285" s="1025"/>
      <c r="E285" s="1179"/>
      <c r="F285" s="1056" t="str">
        <f>IF(F284=$S$15,$T$10,IF(ROUNDDOWN(F284,0)=$S$10,$U$10,$T$10))</f>
        <v>　レベル　1</v>
      </c>
      <c r="G285" s="2896" t="s">
        <v>2365</v>
      </c>
      <c r="H285" s="2902"/>
      <c r="I285" s="2896" t="s">
        <v>2365</v>
      </c>
      <c r="J285" s="2914"/>
      <c r="K285" s="1056" t="str">
        <f>IF(K284=$S$15,$T$10,IF(ROUNDDOWN(K284,0)=$S$10,$U$10,$T$10))</f>
        <v>　レベル　1</v>
      </c>
      <c r="L285" s="2896" t="s">
        <v>2365</v>
      </c>
      <c r="M285" s="2916"/>
      <c r="N285" s="2916"/>
      <c r="O285" s="2902"/>
    </row>
    <row r="286" spans="2:15" ht="15.75" customHeight="1">
      <c r="B286" s="1" t="s">
        <v>3107</v>
      </c>
      <c r="C286" s="1" t="s">
        <v>3107</v>
      </c>
      <c r="D286" s="1025"/>
      <c r="E286" s="1179"/>
      <c r="F286" s="1061" t="str">
        <f>IF(F284=$S$15,$T$11,IF(ROUNDDOWN(F284,0)=$S$11,$U$11,$T$11))</f>
        <v>　レベル　2</v>
      </c>
      <c r="G286" s="2900" t="s">
        <v>2365</v>
      </c>
      <c r="H286" s="2901"/>
      <c r="I286" s="2900" t="s">
        <v>2365</v>
      </c>
      <c r="J286" s="2901"/>
      <c r="K286" s="1061" t="str">
        <f>IF(K284=$S$15,$T$11,IF(ROUNDDOWN(K284,0)=$S$11,$U$11,$T$11))</f>
        <v>　レベル　2</v>
      </c>
      <c r="L286" s="2933" t="s">
        <v>2365</v>
      </c>
      <c r="M286" s="2934"/>
      <c r="N286" s="2934"/>
      <c r="O286" s="2935"/>
    </row>
    <row r="287" spans="2:15" ht="15.75" customHeight="1">
      <c r="B287" s="1">
        <v>3</v>
      </c>
      <c r="C287" s="1">
        <v>3</v>
      </c>
      <c r="D287" s="1025"/>
      <c r="E287" s="1179"/>
      <c r="F287" s="1061" t="str">
        <f>IF(F284=$S$15,$T$12,IF(ROUNDDOWN(F284,0)=$S$12,$U$12,$T$12))</f>
        <v>■レベル　3</v>
      </c>
      <c r="G287" s="2900" t="s">
        <v>999</v>
      </c>
      <c r="H287" s="2901"/>
      <c r="I287" s="2900" t="s">
        <v>3108</v>
      </c>
      <c r="J287" s="2901"/>
      <c r="K287" s="1061" t="str">
        <f>IF(K284=$S$15,$T$12,IF(ROUNDDOWN(K284,0)=$S$12,$U$12,$T$12))</f>
        <v>■レベル　3</v>
      </c>
      <c r="L287" s="2933" t="s">
        <v>3108</v>
      </c>
      <c r="M287" s="2934"/>
      <c r="N287" s="2934"/>
      <c r="O287" s="2935"/>
    </row>
    <row r="288" spans="2:15" ht="15.75" customHeight="1">
      <c r="B288" s="1">
        <v>4</v>
      </c>
      <c r="C288" s="1" t="s">
        <v>3107</v>
      </c>
      <c r="D288" s="1025"/>
      <c r="E288" s="1179"/>
      <c r="F288" s="1061" t="str">
        <f>IF(F284=$S$15,$T$13,IF(ROUNDDOWN(F284,0)=$S$13,$U$13,$T$13))</f>
        <v>　レベル　4</v>
      </c>
      <c r="G288" s="2900" t="s">
        <v>1000</v>
      </c>
      <c r="H288" s="2901"/>
      <c r="I288" s="2900" t="s">
        <v>2365</v>
      </c>
      <c r="J288" s="2901"/>
      <c r="K288" s="1061" t="str">
        <f>IF(K284=$S$15,$T$13,IF(ROUNDDOWN(K284,0)=$S$13,$U$13,$T$13))</f>
        <v>　レベル　4</v>
      </c>
      <c r="L288" s="2933" t="s">
        <v>2365</v>
      </c>
      <c r="M288" s="2934"/>
      <c r="N288" s="2934"/>
      <c r="O288" s="2935"/>
    </row>
    <row r="289" spans="2:15" ht="33.75" customHeight="1">
      <c r="B289" s="1">
        <v>5</v>
      </c>
      <c r="C289" s="1">
        <v>5</v>
      </c>
      <c r="D289" s="1025"/>
      <c r="E289" s="1179"/>
      <c r="F289" s="1072" t="str">
        <f>IF(F284=$S$15,$T$14,IF(ROUNDDOWN(F284,0)=$S$14,$U$14,$T$14))</f>
        <v>　レベル　5</v>
      </c>
      <c r="G289" s="2898" t="s">
        <v>1634</v>
      </c>
      <c r="H289" s="2899"/>
      <c r="I289" s="2898" t="s">
        <v>1635</v>
      </c>
      <c r="J289" s="2899"/>
      <c r="K289" s="1072" t="str">
        <f>IF(K284=$S$15,$T$14,IF(ROUNDDOWN(K284,0)=$S$14,$U$14,$T$14))</f>
        <v>　レベル　5</v>
      </c>
      <c r="L289" s="2925" t="s">
        <v>1635</v>
      </c>
      <c r="M289" s="2944"/>
      <c r="N289" s="2944"/>
      <c r="O289" s="2945"/>
    </row>
    <row r="290" spans="2:15" ht="15.75">
      <c r="B290" s="1079">
        <v>0</v>
      </c>
      <c r="C290" s="1079">
        <v>0</v>
      </c>
      <c r="D290" s="1025"/>
      <c r="E290" s="1026"/>
      <c r="F290" s="1026"/>
      <c r="G290" s="1115"/>
      <c r="H290" s="1115"/>
      <c r="I290" s="1115"/>
      <c r="J290" s="1115"/>
      <c r="K290" s="1115"/>
      <c r="L290" s="1115"/>
      <c r="M290" s="1115"/>
      <c r="N290" s="1115"/>
      <c r="O290" s="1115"/>
    </row>
    <row r="291" spans="2:15" ht="15.75">
      <c r="D291" s="1465">
        <v>3.2</v>
      </c>
      <c r="E291" s="1162" t="s">
        <v>1001</v>
      </c>
      <c r="F291" s="1033"/>
      <c r="G291" s="1163"/>
      <c r="H291" s="1164"/>
      <c r="I291" s="1164"/>
      <c r="J291" s="1164"/>
      <c r="K291" s="1164"/>
      <c r="L291" s="1163"/>
      <c r="M291" s="1164"/>
      <c r="N291" s="1164"/>
      <c r="O291" s="1164"/>
    </row>
    <row r="292" spans="2:15" ht="15.75" hidden="1">
      <c r="D292" s="1025"/>
      <c r="E292" s="1030"/>
      <c r="F292" s="2509" t="s">
        <v>1002</v>
      </c>
      <c r="G292" s="1116"/>
      <c r="H292" s="1165"/>
      <c r="I292" s="1145"/>
      <c r="J292" s="1119" t="str">
        <f>IF(OR(F294=0,AND(J293=0,O293=0)),$R$3,"")</f>
        <v>&lt;評価しない&gt;</v>
      </c>
      <c r="K292" s="1204"/>
      <c r="L292" s="1116"/>
      <c r="M292" s="1165"/>
      <c r="N292" s="1145"/>
      <c r="O292" s="1119"/>
    </row>
    <row r="293" spans="2:15" ht="15.75" hidden="1">
      <c r="D293" s="1025"/>
      <c r="E293" s="1030"/>
      <c r="F293" s="1042" t="s">
        <v>1636</v>
      </c>
      <c r="G293" s="1043"/>
      <c r="H293" s="1044"/>
      <c r="I293" s="1045" t="s">
        <v>1484</v>
      </c>
      <c r="J293" s="1048">
        <f>重み!M40</f>
        <v>0.4</v>
      </c>
      <c r="K293" s="1042" t="s">
        <v>2123</v>
      </c>
      <c r="L293" s="1043"/>
      <c r="M293" s="1044"/>
      <c r="N293" s="1045" t="s">
        <v>1484</v>
      </c>
      <c r="O293" s="1048">
        <f>重み!N40</f>
        <v>0</v>
      </c>
    </row>
    <row r="294" spans="2:15" ht="16.5" hidden="1" thickBot="1">
      <c r="D294" s="1025"/>
      <c r="E294" s="1030"/>
      <c r="F294" s="1049">
        <v>0</v>
      </c>
      <c r="G294" s="1166" t="s">
        <v>982</v>
      </c>
      <c r="H294" s="1054"/>
      <c r="I294" s="1166"/>
      <c r="J294" s="1055"/>
      <c r="K294" s="1049">
        <v>0</v>
      </c>
      <c r="L294" s="1166" t="s">
        <v>998</v>
      </c>
      <c r="M294" s="1055"/>
      <c r="N294" s="1166"/>
      <c r="O294" s="1171"/>
    </row>
    <row r="295" spans="2:15" ht="15.75" hidden="1">
      <c r="B295" s="1">
        <v>1</v>
      </c>
      <c r="C295" s="1">
        <v>1</v>
      </c>
      <c r="D295" s="1025"/>
      <c r="E295" s="1030"/>
      <c r="F295" s="1056" t="str">
        <f>IF(F294=$S$15,$T$10,IF(ROUNDDOWN(F294,0)=$S$10,$U$10,$T$10))</f>
        <v>　レベル　1</v>
      </c>
      <c r="G295" s="2896" t="s">
        <v>888</v>
      </c>
      <c r="H295" s="2916"/>
      <c r="I295" s="2916"/>
      <c r="J295" s="2902"/>
      <c r="K295" s="1056" t="str">
        <f>IF(K294=$S$15,$T$10,IF(ROUNDDOWN(K294,0)=$S$10,$U$10,$T$10))</f>
        <v>　レベル　1</v>
      </c>
      <c r="L295" s="2896" t="s">
        <v>889</v>
      </c>
      <c r="M295" s="2916"/>
      <c r="N295" s="2916"/>
      <c r="O295" s="2902"/>
    </row>
    <row r="296" spans="2:15" ht="15.75" hidden="1">
      <c r="B296" s="1" t="s">
        <v>1637</v>
      </c>
      <c r="C296" s="1" t="s">
        <v>1637</v>
      </c>
      <c r="D296" s="1025"/>
      <c r="E296" s="1030"/>
      <c r="F296" s="1061" t="str">
        <f>IF(F294=$S$15,$T$11,IF(ROUNDDOWN(F294,0)=$S$11,$U$11,$T$11))</f>
        <v>　レベル　2</v>
      </c>
      <c r="G296" s="2933" t="s">
        <v>2365</v>
      </c>
      <c r="H296" s="2934"/>
      <c r="I296" s="2934"/>
      <c r="J296" s="2935"/>
      <c r="K296" s="1061" t="str">
        <f>IF(K294=$S$15,$T$11,IF(ROUNDDOWN(K294,0)=$S$11,$U$11,$T$11))</f>
        <v>　レベル　2</v>
      </c>
      <c r="L296" s="2933" t="s">
        <v>2365</v>
      </c>
      <c r="M296" s="2934"/>
      <c r="N296" s="2934"/>
      <c r="O296" s="2935"/>
    </row>
    <row r="297" spans="2:15" ht="15.75" hidden="1">
      <c r="B297" s="1">
        <v>3</v>
      </c>
      <c r="C297" s="1">
        <v>3</v>
      </c>
      <c r="D297" s="1025"/>
      <c r="E297" s="1030"/>
      <c r="F297" s="1061" t="str">
        <f>IF(F294=$S$15,$T$12,IF(ROUNDDOWN(F294,0)=$S$12,$U$12,$T$12))</f>
        <v>　レベル　3</v>
      </c>
      <c r="G297" s="2949" t="s">
        <v>890</v>
      </c>
      <c r="H297" s="2950"/>
      <c r="I297" s="2950"/>
      <c r="J297" s="2951"/>
      <c r="K297" s="1061" t="str">
        <f>IF(K294=$S$15,$T$12,IF(ROUNDDOWN(K294,0)=$S$12,$U$12,$T$12))</f>
        <v>　レベル　3</v>
      </c>
      <c r="L297" s="2949" t="s">
        <v>1638</v>
      </c>
      <c r="M297" s="2950"/>
      <c r="N297" s="2950"/>
      <c r="O297" s="2951"/>
    </row>
    <row r="298" spans="2:15" ht="15.75" hidden="1">
      <c r="B298" s="1" t="s">
        <v>1637</v>
      </c>
      <c r="C298" s="1" t="s">
        <v>1637</v>
      </c>
      <c r="D298" s="1025"/>
      <c r="E298" s="1030"/>
      <c r="F298" s="1061" t="str">
        <f>IF(F294=$S$15,$T$13,IF(ROUNDDOWN(F294,0)=$S$13,$U$13,$T$13))</f>
        <v>　レベル　4</v>
      </c>
      <c r="G298" s="2933" t="s">
        <v>2365</v>
      </c>
      <c r="H298" s="2934"/>
      <c r="I298" s="2934"/>
      <c r="J298" s="2935"/>
      <c r="K298" s="1061" t="str">
        <f>IF(K294=$S$15,$T$13,IF(ROUNDDOWN(K294,0)=$S$13,$U$13,$T$13))</f>
        <v>　レベル　4</v>
      </c>
      <c r="L298" s="2933" t="s">
        <v>2365</v>
      </c>
      <c r="M298" s="2934"/>
      <c r="N298" s="2934"/>
      <c r="O298" s="2935"/>
    </row>
    <row r="299" spans="2:15" ht="15.75" hidden="1">
      <c r="B299" s="1">
        <v>5</v>
      </c>
      <c r="C299" s="1">
        <v>5</v>
      </c>
      <c r="D299" s="1025"/>
      <c r="E299" s="1030"/>
      <c r="F299" s="1072" t="str">
        <f>IF(F294=$S$15,$T$14,IF(ROUNDDOWN(F294,0)=$S$14,$U$14,$T$14))</f>
        <v>　レベル　5</v>
      </c>
      <c r="G299" s="2925" t="s">
        <v>891</v>
      </c>
      <c r="H299" s="2944"/>
      <c r="I299" s="2944"/>
      <c r="J299" s="2945"/>
      <c r="K299" s="1072" t="str">
        <f>IF(K294=$S$15,$T$14,IF(ROUNDDOWN(K294,0)=$S$14,$U$14,$T$14))</f>
        <v>　レベル　5</v>
      </c>
      <c r="L299" s="2925" t="s">
        <v>1639</v>
      </c>
      <c r="M299" s="2944"/>
      <c r="N299" s="2944"/>
      <c r="O299" s="2945"/>
    </row>
    <row r="300" spans="2:15" ht="15.75" hidden="1">
      <c r="B300" s="1079">
        <v>0</v>
      </c>
      <c r="C300" s="1079">
        <v>0</v>
      </c>
      <c r="D300" s="1025"/>
      <c r="E300" s="1232"/>
      <c r="F300" s="1232"/>
      <c r="G300" s="1233"/>
      <c r="H300" s="1233"/>
      <c r="I300" s="1233"/>
      <c r="J300" s="1233"/>
      <c r="K300" s="1233"/>
      <c r="L300" s="1233"/>
      <c r="M300" s="1233"/>
      <c r="N300" s="1233"/>
      <c r="O300" s="1233"/>
    </row>
    <row r="301" spans="2:15" ht="15.75">
      <c r="D301" s="1025"/>
      <c r="E301" s="1232"/>
      <c r="F301" s="1036" t="s">
        <v>3170</v>
      </c>
      <c r="G301" s="1116"/>
      <c r="H301" s="1165"/>
      <c r="I301" s="1145"/>
      <c r="J301" s="1119" t="str">
        <f>IF(OR(F303=0,AND(J302=0,O302=0)),$R$3,"")</f>
        <v/>
      </c>
      <c r="K301" s="1204"/>
      <c r="L301" s="1116"/>
      <c r="M301" s="1165"/>
      <c r="N301" s="1145"/>
      <c r="O301" s="1119"/>
    </row>
    <row r="302" spans="2:15" ht="16.5" thickBot="1">
      <c r="D302" s="1025"/>
      <c r="E302" s="1232"/>
      <c r="F302" s="1042" t="s">
        <v>1438</v>
      </c>
      <c r="G302" s="1043"/>
      <c r="H302" s="1044"/>
      <c r="I302" s="1045" t="s">
        <v>1484</v>
      </c>
      <c r="J302" s="1048">
        <f>重み!M41</f>
        <v>0.6</v>
      </c>
      <c r="K302" s="1042" t="s">
        <v>2123</v>
      </c>
      <c r="L302" s="1043"/>
      <c r="M302" s="1044"/>
      <c r="N302" s="1045" t="s">
        <v>1484</v>
      </c>
      <c r="O302" s="1048">
        <f>重み!N41</f>
        <v>0</v>
      </c>
    </row>
    <row r="303" spans="2:15" ht="16.5" thickBot="1">
      <c r="D303" s="1025"/>
      <c r="E303" s="1232"/>
      <c r="F303" s="1049">
        <v>3</v>
      </c>
      <c r="G303" s="1166" t="s">
        <v>537</v>
      </c>
      <c r="H303" s="1054"/>
      <c r="I303" s="1166" t="s">
        <v>538</v>
      </c>
      <c r="J303" s="1055"/>
      <c r="K303" s="1049">
        <v>3</v>
      </c>
      <c r="L303" s="1166" t="s">
        <v>998</v>
      </c>
      <c r="M303" s="1055"/>
      <c r="N303" s="1166"/>
      <c r="O303" s="1171"/>
    </row>
    <row r="304" spans="2:15" ht="15.75">
      <c r="B304" s="1">
        <v>1</v>
      </c>
      <c r="C304" s="1">
        <v>1</v>
      </c>
      <c r="D304" s="1025"/>
      <c r="E304" s="1232"/>
      <c r="F304" s="1056" t="str">
        <f>IF(F303=$S$15,$T$10,IF(ROUNDDOWN(F303,0)=$S$10,$U$10,$T$10))</f>
        <v>　レベル　1</v>
      </c>
      <c r="G304" s="2896" t="s">
        <v>1640</v>
      </c>
      <c r="H304" s="2902"/>
      <c r="I304" s="2896" t="s">
        <v>1640</v>
      </c>
      <c r="J304" s="2902"/>
      <c r="K304" s="1056" t="str">
        <f>IF(K303=$S$15,$T$10,IF(ROUNDDOWN(K303,0)=$S$10,$U$10,$T$10))</f>
        <v>　レベル　1</v>
      </c>
      <c r="L304" s="2896" t="s">
        <v>539</v>
      </c>
      <c r="M304" s="2916"/>
      <c r="N304" s="2916"/>
      <c r="O304" s="2902"/>
    </row>
    <row r="305" spans="2:15" ht="33.75" customHeight="1">
      <c r="B305" s="1">
        <v>2</v>
      </c>
      <c r="C305" s="1" t="s">
        <v>3107</v>
      </c>
      <c r="D305" s="1025"/>
      <c r="E305" s="1232"/>
      <c r="F305" s="1061" t="str">
        <f>IF(F303=$S$15,$T$11,IF(ROUNDDOWN(F303,0)=$S$11,$U$11,$T$11))</f>
        <v>　レベル　2</v>
      </c>
      <c r="G305" s="2900" t="s">
        <v>1641</v>
      </c>
      <c r="H305" s="2901"/>
      <c r="I305" s="2900" t="s">
        <v>2365</v>
      </c>
      <c r="J305" s="2901"/>
      <c r="K305" s="1061" t="str">
        <f>IF(K303=$S$15,$T$11,IF(ROUNDDOWN(K303,0)=$S$11,$U$11,$T$11))</f>
        <v>　レベル　2</v>
      </c>
      <c r="L305" s="2933" t="s">
        <v>2365</v>
      </c>
      <c r="M305" s="2934"/>
      <c r="N305" s="2934"/>
      <c r="O305" s="2935"/>
    </row>
    <row r="306" spans="2:15" ht="36.75" customHeight="1">
      <c r="B306" s="1">
        <v>3</v>
      </c>
      <c r="C306" s="1">
        <v>3</v>
      </c>
      <c r="D306" s="1025"/>
      <c r="E306" s="1232"/>
      <c r="F306" s="1061" t="str">
        <f>IF(F303=$S$15,$T$12,IF(ROUNDDOWN(F303,0)=$S$12,$U$12,$T$12))</f>
        <v>■レベル　3</v>
      </c>
      <c r="G306" s="2900" t="s">
        <v>1642</v>
      </c>
      <c r="H306" s="2901"/>
      <c r="I306" s="2900" t="s">
        <v>1643</v>
      </c>
      <c r="J306" s="2901"/>
      <c r="K306" s="1061" t="str">
        <f>IF(K303=$S$15,$T$12,IF(ROUNDDOWN(K303,0)=$S$12,$U$12,$T$12))</f>
        <v>■レベル　3</v>
      </c>
      <c r="L306" s="2933" t="s">
        <v>1643</v>
      </c>
      <c r="M306" s="2934"/>
      <c r="N306" s="2934"/>
      <c r="O306" s="2935"/>
    </row>
    <row r="307" spans="2:15" ht="47.25" customHeight="1">
      <c r="B307" s="1">
        <v>4</v>
      </c>
      <c r="C307" s="1">
        <v>4</v>
      </c>
      <c r="D307" s="1025"/>
      <c r="E307" s="1232"/>
      <c r="F307" s="1061" t="str">
        <f>IF(F303=$S$15,$T$13,IF(ROUNDDOWN(F303,0)=$S$13,$U$13,$T$13))</f>
        <v>　レベル　4</v>
      </c>
      <c r="G307" s="2900" t="s">
        <v>1644</v>
      </c>
      <c r="H307" s="2901"/>
      <c r="I307" s="2900" t="s">
        <v>1645</v>
      </c>
      <c r="J307" s="2901"/>
      <c r="K307" s="1061" t="str">
        <f>IF(K303=$S$15,$T$13,IF(ROUNDDOWN(K303,0)=$S$13,$U$13,$T$13))</f>
        <v>　レベル　4</v>
      </c>
      <c r="L307" s="2933" t="s">
        <v>1645</v>
      </c>
      <c r="M307" s="2934"/>
      <c r="N307" s="2934"/>
      <c r="O307" s="2935"/>
    </row>
    <row r="308" spans="2:15" ht="42.75" customHeight="1">
      <c r="B308" s="1">
        <v>5</v>
      </c>
      <c r="C308" s="1">
        <v>5</v>
      </c>
      <c r="D308" s="1025"/>
      <c r="E308" s="1232"/>
      <c r="F308" s="1072" t="str">
        <f>IF(F303=$S$15,$T$14,IF(ROUNDDOWN(F303,0)=$S$14,$U$14,$T$14))</f>
        <v>　レベル　5</v>
      </c>
      <c r="G308" s="2898" t="s">
        <v>17</v>
      </c>
      <c r="H308" s="2899"/>
      <c r="I308" s="2898" t="s">
        <v>1646</v>
      </c>
      <c r="J308" s="2899"/>
      <c r="K308" s="1072" t="str">
        <f>IF(K303=$S$15,$T$14,IF(ROUNDDOWN(K303,0)=$S$14,$U$14,$T$14))</f>
        <v>　レベル　5</v>
      </c>
      <c r="L308" s="2925" t="s">
        <v>1646</v>
      </c>
      <c r="M308" s="2944"/>
      <c r="N308" s="2944"/>
      <c r="O308" s="2945"/>
    </row>
    <row r="309" spans="2:15" ht="15.75">
      <c r="B309" s="1079">
        <v>0</v>
      </c>
      <c r="C309" s="1079">
        <v>0</v>
      </c>
      <c r="D309" s="1025"/>
      <c r="E309" s="1232"/>
      <c r="F309" s="1232"/>
      <c r="G309" s="1233"/>
      <c r="H309" s="1233"/>
      <c r="I309" s="1233"/>
      <c r="J309" s="1233"/>
      <c r="K309" s="1233"/>
      <c r="L309" s="1233"/>
      <c r="M309" s="1233"/>
      <c r="N309" s="1233"/>
      <c r="O309" s="1233"/>
    </row>
    <row r="310" spans="2:15" ht="15.75">
      <c r="D310" s="1025"/>
      <c r="E310" s="1232"/>
      <c r="F310" s="1036" t="s">
        <v>3171</v>
      </c>
      <c r="G310" s="1116"/>
      <c r="H310" s="1165"/>
      <c r="I310" s="1145"/>
      <c r="J310" s="1119" t="str">
        <f>IF(OR(F312=0,J311=0),$R$3,"")</f>
        <v>&lt;評価しない&gt;</v>
      </c>
      <c r="K310" s="1233"/>
      <c r="L310" s="1233"/>
      <c r="M310" s="1233"/>
      <c r="N310" s="1233"/>
      <c r="O310" s="1233"/>
    </row>
    <row r="311" spans="2:15" ht="15.75" hidden="1">
      <c r="B311" s="1234" t="s">
        <v>857</v>
      </c>
      <c r="D311" s="1025"/>
      <c r="E311" s="1232"/>
      <c r="F311" s="1042" t="s">
        <v>308</v>
      </c>
      <c r="G311" s="1043"/>
      <c r="H311" s="1044"/>
      <c r="I311" s="1045" t="s">
        <v>1484</v>
      </c>
      <c r="J311" s="1048">
        <f>重み!M42</f>
        <v>0</v>
      </c>
      <c r="K311" s="1233"/>
      <c r="L311" s="1233"/>
      <c r="M311" s="1233"/>
      <c r="N311" s="1233"/>
      <c r="O311" s="1233"/>
    </row>
    <row r="312" spans="2:15" ht="16.5" hidden="1" thickBot="1">
      <c r="D312" s="1025"/>
      <c r="E312" s="1232"/>
      <c r="F312" s="1049">
        <v>0</v>
      </c>
      <c r="G312" s="1166" t="s">
        <v>541</v>
      </c>
      <c r="H312" s="1054"/>
      <c r="I312" s="1054"/>
      <c r="J312" s="1055"/>
      <c r="K312" s="1233"/>
      <c r="L312" s="1233"/>
      <c r="M312" s="1233"/>
      <c r="N312" s="1233"/>
      <c r="O312" s="1233"/>
    </row>
    <row r="313" spans="2:15" ht="15.75" hidden="1">
      <c r="B313" s="1">
        <v>1</v>
      </c>
      <c r="C313" s="1">
        <v>1</v>
      </c>
      <c r="D313" s="1025"/>
      <c r="E313" s="1232"/>
      <c r="F313" s="1056" t="str">
        <f>IF(F312=$S$15,$T$10,IF(ROUNDDOWN(F312,0)=$S$10,$U$10,$T$10))</f>
        <v>　レベル　1</v>
      </c>
      <c r="G313" s="2896" t="s">
        <v>1647</v>
      </c>
      <c r="H313" s="2916"/>
      <c r="I313" s="2916"/>
      <c r="J313" s="2902"/>
      <c r="K313" s="1233"/>
      <c r="L313" s="1233"/>
      <c r="M313" s="1233"/>
      <c r="N313" s="1233"/>
      <c r="O313" s="1233"/>
    </row>
    <row r="314" spans="2:15" ht="15.75" hidden="1">
      <c r="B314" s="1" t="s">
        <v>3107</v>
      </c>
      <c r="C314" s="1">
        <v>2</v>
      </c>
      <c r="D314" s="1025"/>
      <c r="E314" s="1232"/>
      <c r="F314" s="1061" t="str">
        <f>IF(F312=$S$15,$T$11,IF(ROUNDDOWN(F312,0)=$S$11,$U$11,$T$11))</f>
        <v>　レベル　2</v>
      </c>
      <c r="G314" s="2933" t="s">
        <v>2365</v>
      </c>
      <c r="H314" s="2934"/>
      <c r="I314" s="2934"/>
      <c r="J314" s="2935"/>
      <c r="K314" s="1233"/>
      <c r="L314" s="1233"/>
      <c r="M314" s="1233"/>
      <c r="N314" s="1233"/>
      <c r="O314" s="1233"/>
    </row>
    <row r="315" spans="2:15" ht="15.75" hidden="1">
      <c r="B315" s="1">
        <v>3</v>
      </c>
      <c r="C315" s="1">
        <v>3</v>
      </c>
      <c r="D315" s="1025"/>
      <c r="E315" s="1232"/>
      <c r="F315" s="1061" t="str">
        <f>IF(F312=$S$15,$T$12,IF(ROUNDDOWN(F312,0)=$S$12,$U$12,$T$12))</f>
        <v>　レベル　3</v>
      </c>
      <c r="G315" s="2933" t="s">
        <v>1648</v>
      </c>
      <c r="H315" s="2934"/>
      <c r="I315" s="2934"/>
      <c r="J315" s="2935"/>
      <c r="K315" s="1233"/>
      <c r="L315" s="1233"/>
      <c r="M315" s="1233"/>
      <c r="N315" s="1233"/>
      <c r="O315" s="1233"/>
    </row>
    <row r="316" spans="2:15" ht="15.75" hidden="1">
      <c r="B316" s="1" t="s">
        <v>3107</v>
      </c>
      <c r="C316" s="1">
        <v>4</v>
      </c>
      <c r="D316" s="1025"/>
      <c r="E316" s="1232"/>
      <c r="F316" s="1061" t="str">
        <f>IF(F312=$S$15,$T$13,IF(ROUNDDOWN(F312,0)=$S$13,$U$13,$T$13))</f>
        <v>　レベル　4</v>
      </c>
      <c r="G316" s="2933" t="s">
        <v>2365</v>
      </c>
      <c r="H316" s="2934"/>
      <c r="I316" s="2934"/>
      <c r="J316" s="2935"/>
      <c r="K316" s="1233"/>
      <c r="L316" s="1233"/>
      <c r="M316" s="1233"/>
      <c r="N316" s="1233"/>
      <c r="O316" s="1233"/>
    </row>
    <row r="317" spans="2:15" ht="15.75" hidden="1">
      <c r="B317" s="1">
        <v>5</v>
      </c>
      <c r="C317" s="1">
        <v>5</v>
      </c>
      <c r="D317" s="1025"/>
      <c r="E317" s="1232"/>
      <c r="F317" s="1072" t="str">
        <f>IF(F312=$S$15,$T$14,IF(ROUNDDOWN(F312,0)=$S$14,$U$14,$T$14))</f>
        <v>　レベル　5</v>
      </c>
      <c r="G317" s="2925" t="s">
        <v>1649</v>
      </c>
      <c r="H317" s="2944"/>
      <c r="I317" s="2944"/>
      <c r="J317" s="2945"/>
      <c r="K317" s="1233"/>
      <c r="L317" s="1233"/>
      <c r="M317" s="1233"/>
      <c r="N317" s="1233"/>
      <c r="O317" s="1233"/>
    </row>
    <row r="318" spans="2:15" ht="15.75" hidden="1">
      <c r="B318" s="1079">
        <v>0</v>
      </c>
      <c r="C318" s="1079">
        <v>0</v>
      </c>
      <c r="D318" s="1025"/>
      <c r="E318" s="1232"/>
      <c r="F318" s="1232"/>
      <c r="G318" s="1235" t="s">
        <v>542</v>
      </c>
      <c r="H318" s="1236"/>
      <c r="I318" s="1236"/>
      <c r="J318" s="1236"/>
      <c r="K318" s="1236"/>
      <c r="L318" s="1236"/>
      <c r="M318" s="1233"/>
      <c r="N318" s="1233"/>
      <c r="O318" s="1233"/>
    </row>
    <row r="319" spans="2:15" ht="15.75" hidden="1">
      <c r="D319" s="1025"/>
      <c r="E319" s="1232"/>
      <c r="F319" s="1232"/>
      <c r="G319" s="1237" t="s">
        <v>543</v>
      </c>
      <c r="H319" s="1237" t="s">
        <v>1650</v>
      </c>
      <c r="I319" s="1238"/>
      <c r="J319" s="1238"/>
      <c r="K319" s="1238"/>
      <c r="L319" s="1239"/>
      <c r="M319" s="1233"/>
      <c r="N319" s="1233"/>
      <c r="O319" s="1233"/>
    </row>
    <row r="320" spans="2:15" ht="15.75" hidden="1">
      <c r="D320" s="1025"/>
      <c r="E320" s="1232"/>
      <c r="F320" s="1232"/>
      <c r="G320" s="1237" t="s">
        <v>544</v>
      </c>
      <c r="H320" s="1237" t="s">
        <v>545</v>
      </c>
      <c r="I320" s="1238"/>
      <c r="J320" s="1238"/>
      <c r="K320" s="1238"/>
      <c r="L320" s="1239"/>
      <c r="M320" s="1233"/>
      <c r="N320" s="1233"/>
      <c r="O320" s="1233"/>
    </row>
    <row r="321" spans="2:15" ht="15.75" hidden="1">
      <c r="D321" s="1025"/>
      <c r="E321" s="1232"/>
      <c r="F321" s="1232"/>
      <c r="G321" s="1237" t="s">
        <v>546</v>
      </c>
      <c r="H321" s="1237" t="s">
        <v>547</v>
      </c>
      <c r="I321" s="1238"/>
      <c r="J321" s="1238"/>
      <c r="K321" s="1238"/>
      <c r="L321" s="1239"/>
      <c r="M321" s="1233"/>
      <c r="N321" s="1233"/>
      <c r="O321" s="1233"/>
    </row>
    <row r="322" spans="2:15" ht="15.75" hidden="1">
      <c r="D322" s="1025"/>
      <c r="E322" s="1232"/>
      <c r="F322" s="1232"/>
      <c r="G322" s="1237" t="s">
        <v>548</v>
      </c>
      <c r="H322" s="1237" t="s">
        <v>549</v>
      </c>
      <c r="I322" s="1237"/>
      <c r="J322" s="1238"/>
      <c r="K322" s="1238"/>
      <c r="L322" s="1239"/>
      <c r="M322" s="1233"/>
      <c r="N322" s="1233"/>
      <c r="O322" s="1233"/>
    </row>
    <row r="323" spans="2:15" ht="14.25">
      <c r="D323" s="2561"/>
      <c r="E323" s="1240"/>
      <c r="F323" s="1033"/>
      <c r="G323" s="1163"/>
      <c r="H323" s="1164"/>
      <c r="I323" s="1164"/>
      <c r="J323" s="1164"/>
      <c r="K323" s="1164"/>
      <c r="L323" s="1163"/>
      <c r="M323" s="1164"/>
      <c r="N323" s="1164"/>
      <c r="O323" s="1233"/>
    </row>
    <row r="324" spans="2:15" ht="15.75">
      <c r="D324" s="1465">
        <v>3.3</v>
      </c>
      <c r="E324" s="1162" t="s">
        <v>1079</v>
      </c>
      <c r="F324" s="1184"/>
      <c r="G324" s="1116"/>
      <c r="H324" s="1116"/>
      <c r="I324" s="1165"/>
      <c r="J324" s="1119" t="str">
        <f>IF(OR(F326=0,AND(J325=0,O325=0)),$R$3,"")</f>
        <v/>
      </c>
      <c r="K324" s="1145"/>
      <c r="L324" s="1145"/>
      <c r="M324" s="1115"/>
      <c r="N324" s="1145"/>
      <c r="O324" s="1145"/>
    </row>
    <row r="325" spans="2:15" ht="16.5" thickBot="1">
      <c r="D325" s="1025"/>
      <c r="E325" s="1030"/>
      <c r="F325" s="2534" t="s">
        <v>1651</v>
      </c>
      <c r="G325" s="1186"/>
      <c r="H325" s="1187"/>
      <c r="I325" s="1045" t="s">
        <v>1484</v>
      </c>
      <c r="J325" s="1043">
        <f>重み!M43</f>
        <v>0.15</v>
      </c>
      <c r="K325" s="1186"/>
      <c r="L325" s="1188"/>
      <c r="M325" s="2535" t="s">
        <v>2123</v>
      </c>
      <c r="N325" s="1045" t="s">
        <v>1484</v>
      </c>
      <c r="O325" s="1047">
        <f>重み!N43</f>
        <v>0</v>
      </c>
    </row>
    <row r="326" spans="2:15" ht="16.5" thickBot="1">
      <c r="D326" s="1025"/>
      <c r="E326" s="1030"/>
      <c r="F326" s="1049">
        <v>3</v>
      </c>
      <c r="G326" s="1166" t="s">
        <v>550</v>
      </c>
      <c r="H326" s="1055"/>
      <c r="I326" s="1171" t="s">
        <v>1652</v>
      </c>
      <c r="J326" s="1190" t="s">
        <v>1653</v>
      </c>
      <c r="K326" s="1190" t="s">
        <v>1654</v>
      </c>
      <c r="L326" s="1191" t="s">
        <v>2054</v>
      </c>
      <c r="M326" s="1049">
        <v>3</v>
      </c>
      <c r="N326" s="1166" t="s">
        <v>1655</v>
      </c>
      <c r="O326" s="1192" t="s">
        <v>551</v>
      </c>
    </row>
    <row r="327" spans="2:15" ht="22.5" customHeight="1">
      <c r="B327" s="1">
        <v>1</v>
      </c>
      <c r="C327" s="1">
        <v>1</v>
      </c>
      <c r="D327" s="1025"/>
      <c r="E327" s="1030"/>
      <c r="F327" s="1056" t="str">
        <f>IF(F326=$S$15,$T$10,IF(ROUNDDOWN(F326,0)=$S$10,$U$10,$T$10))</f>
        <v>　レベル　1</v>
      </c>
      <c r="G327" s="2896" t="s">
        <v>1957</v>
      </c>
      <c r="H327" s="2902"/>
      <c r="I327" s="1241" t="s">
        <v>1174</v>
      </c>
      <c r="J327" s="1123" t="s">
        <v>1175</v>
      </c>
      <c r="K327" s="1241" t="s">
        <v>1176</v>
      </c>
      <c r="L327" s="1241" t="s">
        <v>1176</v>
      </c>
      <c r="M327" s="1056" t="str">
        <f>IF(M326=$S$15,$T$10,IF(ROUNDDOWN(M326,0)=$S$10,$U$10,$T$10))</f>
        <v>　レベル　1</v>
      </c>
      <c r="N327" s="1057" t="s">
        <v>1177</v>
      </c>
      <c r="O327" s="1242" t="s">
        <v>1176</v>
      </c>
    </row>
    <row r="328" spans="2:15" ht="32.25" customHeight="1">
      <c r="B328" s="1">
        <v>2</v>
      </c>
      <c r="C328" s="1" t="s">
        <v>3105</v>
      </c>
      <c r="D328" s="1025"/>
      <c r="E328" s="1030"/>
      <c r="F328" s="1061" t="str">
        <f>IF(F326=$S$15,$T$11,IF(ROUNDDOWN(F326,0)=$S$11,$U$11,$T$11))</f>
        <v>　レベル　2</v>
      </c>
      <c r="G328" s="2900" t="s">
        <v>16</v>
      </c>
      <c r="H328" s="2943"/>
      <c r="I328" s="1243" t="s">
        <v>2365</v>
      </c>
      <c r="J328" s="1243" t="s">
        <v>2365</v>
      </c>
      <c r="K328" s="1243" t="s">
        <v>2365</v>
      </c>
      <c r="L328" s="1243" t="s">
        <v>2365</v>
      </c>
      <c r="M328" s="1061" t="str">
        <f>IF(M326=$S$15,$T$11,IF(ROUNDDOWN(M326,0)=$S$11,$U$11,$T$11))</f>
        <v>　レベル　2</v>
      </c>
      <c r="N328" s="1243" t="s">
        <v>2365</v>
      </c>
      <c r="O328" s="1243" t="s">
        <v>2365</v>
      </c>
    </row>
    <row r="329" spans="2:15" ht="83.25" customHeight="1">
      <c r="B329" s="1">
        <v>3</v>
      </c>
      <c r="C329" s="1">
        <v>3</v>
      </c>
      <c r="D329" s="1025"/>
      <c r="E329" s="1030"/>
      <c r="F329" s="1061" t="str">
        <f>IF(F326=$S$15,$T$12,IF(ROUNDDOWN(F326,0)=$S$12,$U$12,$T$12))</f>
        <v>■レベル　3</v>
      </c>
      <c r="G329" s="2900" t="s">
        <v>405</v>
      </c>
      <c r="H329" s="2943"/>
      <c r="I329" s="1244" t="s">
        <v>1178</v>
      </c>
      <c r="J329" s="1064" t="s">
        <v>1179</v>
      </c>
      <c r="K329" s="1244" t="s">
        <v>1180</v>
      </c>
      <c r="L329" s="1244" t="s">
        <v>1180</v>
      </c>
      <c r="M329" s="1061" t="str">
        <f>IF(M326=$S$15,$T$12,IF(ROUNDDOWN(M326,0)=$S$12,$U$12,$T$12))</f>
        <v>■レベル　3</v>
      </c>
      <c r="N329" s="1064" t="s">
        <v>1179</v>
      </c>
      <c r="O329" s="1068" t="s">
        <v>1180</v>
      </c>
    </row>
    <row r="330" spans="2:15" ht="88.5" customHeight="1">
      <c r="B330" s="1">
        <v>4</v>
      </c>
      <c r="C330" s="1">
        <v>4</v>
      </c>
      <c r="D330" s="1025"/>
      <c r="E330" s="1030"/>
      <c r="F330" s="1061" t="str">
        <f>IF(F326=$S$15,$T$13,IF(ROUNDDOWN(F326,0)=$S$13,$U$13,$T$13))</f>
        <v>　レベル　4</v>
      </c>
      <c r="G330" s="2900" t="s">
        <v>404</v>
      </c>
      <c r="H330" s="2943"/>
      <c r="I330" s="1245" t="s">
        <v>1181</v>
      </c>
      <c r="J330" s="1069" t="s">
        <v>552</v>
      </c>
      <c r="K330" s="1243" t="s">
        <v>2365</v>
      </c>
      <c r="L330" s="1245" t="s">
        <v>553</v>
      </c>
      <c r="M330" s="1061" t="str">
        <f>IF(M326=$S$15,$T$13,IF(ROUNDDOWN(M326,0)=$S$13,$U$13,$T$13))</f>
        <v>　レベル　4</v>
      </c>
      <c r="N330" s="1064" t="s">
        <v>553</v>
      </c>
      <c r="O330" s="1243" t="s">
        <v>2365</v>
      </c>
    </row>
    <row r="331" spans="2:15" ht="83.25" customHeight="1">
      <c r="B331" s="1">
        <v>5</v>
      </c>
      <c r="C331" s="1">
        <v>5</v>
      </c>
      <c r="D331" s="1025"/>
      <c r="E331" s="1030"/>
      <c r="F331" s="1072" t="str">
        <f>IF(F326=$S$15,$T$14,IF(ROUNDDOWN(F326,0)=$S$14,$U$14,$T$14))</f>
        <v>　レベル　5</v>
      </c>
      <c r="G331" s="2898" t="s">
        <v>403</v>
      </c>
      <c r="H331" s="2928"/>
      <c r="I331" s="1246" t="s">
        <v>2365</v>
      </c>
      <c r="J331" s="1246" t="s">
        <v>2365</v>
      </c>
      <c r="K331" s="1246" t="s">
        <v>2365</v>
      </c>
      <c r="L331" s="1246" t="s">
        <v>2365</v>
      </c>
      <c r="M331" s="1072" t="str">
        <f>IF(M326=$S$15,$T$14,IF(ROUNDDOWN(M326,0)=$S$14,$U$14,$T$14))</f>
        <v>　レベル　5</v>
      </c>
      <c r="N331" s="1246" t="s">
        <v>2365</v>
      </c>
      <c r="O331" s="1210" t="s">
        <v>3126</v>
      </c>
    </row>
    <row r="332" spans="2:15" ht="15.75" hidden="1">
      <c r="B332" s="1079">
        <v>0</v>
      </c>
      <c r="C332" s="1079">
        <v>0</v>
      </c>
      <c r="D332" s="1025"/>
      <c r="E332" s="1232"/>
      <c r="F332" s="1232"/>
      <c r="G332" s="1233"/>
      <c r="H332" s="1233"/>
      <c r="I332" s="1233"/>
      <c r="J332" s="1233"/>
      <c r="K332" s="1247"/>
      <c r="L332" s="1247"/>
      <c r="M332" s="1247"/>
      <c r="N332" s="1247"/>
      <c r="O332" s="1247"/>
    </row>
    <row r="333" spans="2:15" ht="15.75" hidden="1">
      <c r="D333" s="1025"/>
      <c r="E333" s="1232"/>
      <c r="F333" s="1184" t="s">
        <v>3127</v>
      </c>
      <c r="G333" s="1248"/>
      <c r="H333" s="1249"/>
      <c r="I333" s="1250" t="s">
        <v>1484</v>
      </c>
      <c r="J333" s="1047">
        <f>重み!M45</f>
        <v>0</v>
      </c>
      <c r="K333" s="1145"/>
      <c r="L333" s="1248"/>
      <c r="M333" s="1249"/>
      <c r="N333" s="1250" t="s">
        <v>1484</v>
      </c>
      <c r="O333" s="1047">
        <f>重み!N45</f>
        <v>0</v>
      </c>
    </row>
    <row r="334" spans="2:15" ht="15.75" hidden="1">
      <c r="D334" s="1025"/>
      <c r="E334" s="1232"/>
      <c r="F334" s="2952">
        <v>3</v>
      </c>
      <c r="G334" s="1251" t="s">
        <v>2174</v>
      </c>
      <c r="H334" s="1044"/>
      <c r="I334" s="1044"/>
      <c r="J334" s="1251"/>
      <c r="K334" s="2952">
        <v>3</v>
      </c>
      <c r="L334" s="1252" t="s">
        <v>2123</v>
      </c>
      <c r="M334" s="1172"/>
      <c r="N334" s="1054"/>
      <c r="O334" s="1055"/>
    </row>
    <row r="335" spans="2:15" ht="16.5" hidden="1" thickBot="1">
      <c r="D335" s="1025"/>
      <c r="E335" s="1232"/>
      <c r="F335" s="2953"/>
      <c r="G335" s="1166" t="s">
        <v>3128</v>
      </c>
      <c r="H335" s="1055"/>
      <c r="I335" s="1166"/>
      <c r="J335" s="1171"/>
      <c r="K335" s="2953"/>
      <c r="L335" s="1166" t="s">
        <v>1182</v>
      </c>
      <c r="M335" s="1055"/>
      <c r="N335" s="1166"/>
      <c r="O335" s="1171"/>
    </row>
    <row r="336" spans="2:15" ht="15.75" hidden="1" customHeight="1">
      <c r="D336" s="1025"/>
      <c r="E336" s="1232"/>
      <c r="F336" s="1253" t="str">
        <f>IF(F334=$S$15,$T$10,IF(ROUNDDOWN(F334,0)=$S$10,$U$10,$T$10))</f>
        <v>　レベル　1</v>
      </c>
      <c r="G336" s="2896" t="s">
        <v>2045</v>
      </c>
      <c r="H336" s="2916"/>
      <c r="I336" s="2916"/>
      <c r="J336" s="2902"/>
      <c r="K336" s="1056" t="str">
        <f>IF(K334=$S$15,$T$10,IF(ROUNDDOWN(K334,0)=$S$10,$U$10,$T$10))</f>
        <v>　レベル　1</v>
      </c>
      <c r="L336" s="2896" t="s">
        <v>2045</v>
      </c>
      <c r="M336" s="2916"/>
      <c r="N336" s="2916"/>
      <c r="O336" s="2902"/>
    </row>
    <row r="337" spans="2:15" ht="15.75" hidden="1" customHeight="1">
      <c r="D337" s="1025"/>
      <c r="E337" s="1232"/>
      <c r="F337" s="1254" t="str">
        <f>IF(F334=$S$15,$T$11,IF(ROUNDDOWN(F334,0)=$S$11,$U$11,$T$11))</f>
        <v>　レベル　2</v>
      </c>
      <c r="G337" s="2933" t="s">
        <v>2655</v>
      </c>
      <c r="H337" s="2934"/>
      <c r="I337" s="2934"/>
      <c r="J337" s="2935"/>
      <c r="K337" s="1061" t="str">
        <f>IF(K334=$S$15,$T$11,IF(ROUNDDOWN(K334,0)=$S$11,$U$11,$T$11))</f>
        <v>　レベル　2</v>
      </c>
      <c r="L337" s="2933" t="s">
        <v>2655</v>
      </c>
      <c r="M337" s="2934"/>
      <c r="N337" s="2934"/>
      <c r="O337" s="2935"/>
    </row>
    <row r="338" spans="2:15" ht="36.75" hidden="1" customHeight="1">
      <c r="D338" s="1025"/>
      <c r="E338" s="1232"/>
      <c r="F338" s="1254" t="str">
        <f>IF(F334=$S$15,$T$12,IF(ROUNDDOWN(F334,0)=$S$12,$U$12,$T$12))</f>
        <v>■レベル　3</v>
      </c>
      <c r="G338" s="2933" t="s">
        <v>3129</v>
      </c>
      <c r="H338" s="2934"/>
      <c r="I338" s="2934"/>
      <c r="J338" s="2935"/>
      <c r="K338" s="1061" t="str">
        <f>IF(K334=$S$15,$T$12,IF(ROUNDDOWN(K334,0)=$S$12,$U$12,$T$12))</f>
        <v>■レベル　3</v>
      </c>
      <c r="L338" s="2933" t="s">
        <v>3129</v>
      </c>
      <c r="M338" s="2934"/>
      <c r="N338" s="2934"/>
      <c r="O338" s="2935"/>
    </row>
    <row r="339" spans="2:15" ht="15.75" hidden="1">
      <c r="D339" s="1025"/>
      <c r="E339" s="1232"/>
      <c r="F339" s="1254" t="str">
        <f>IF(F334=$S$15,$T$13,IF(ROUNDDOWN(F334,0)=$S$13,$U$13,$T$13))</f>
        <v>　レベル　4</v>
      </c>
      <c r="G339" s="2933" t="s">
        <v>2656</v>
      </c>
      <c r="H339" s="2934"/>
      <c r="I339" s="2934"/>
      <c r="J339" s="2935"/>
      <c r="K339" s="1061" t="str">
        <f>IF(K334=$S$15,$T$13,IF(ROUNDDOWN(K334,0)=$S$13,$U$13,$T$13))</f>
        <v>　レベル　4</v>
      </c>
      <c r="L339" s="2933" t="s">
        <v>2656</v>
      </c>
      <c r="M339" s="2934"/>
      <c r="N339" s="2934"/>
      <c r="O339" s="2935"/>
    </row>
    <row r="340" spans="2:15" ht="36.75" hidden="1" customHeight="1">
      <c r="D340" s="1025"/>
      <c r="E340" s="1232"/>
      <c r="F340" s="1255" t="str">
        <f>IF(F334=$S$15,$T$14,IF(ROUNDDOWN(F334,0)=$S$14,$U$14,$T$14))</f>
        <v>　レベル　5</v>
      </c>
      <c r="G340" s="2925" t="s">
        <v>3130</v>
      </c>
      <c r="H340" s="2944"/>
      <c r="I340" s="2944"/>
      <c r="J340" s="2945"/>
      <c r="K340" s="1072" t="str">
        <f>IF(K334=$S$15,$T$14,IF(ROUNDDOWN(K334,0)=$S$14,$U$14,$T$14))</f>
        <v>　レベル　5</v>
      </c>
      <c r="L340" s="2925" t="s">
        <v>3130</v>
      </c>
      <c r="M340" s="2944"/>
      <c r="N340" s="2944"/>
      <c r="O340" s="2945"/>
    </row>
    <row r="341" spans="2:15" ht="15.75">
      <c r="D341" s="1025"/>
      <c r="E341" s="1232"/>
      <c r="F341" s="1232"/>
      <c r="G341" s="1233"/>
      <c r="H341" s="1233"/>
      <c r="I341" s="1233"/>
      <c r="J341" s="1233"/>
      <c r="K341" s="1247"/>
      <c r="L341" s="1233"/>
      <c r="M341" s="1233"/>
      <c r="N341" s="1233"/>
      <c r="O341" s="1233"/>
    </row>
    <row r="342" spans="2:15" ht="15.75">
      <c r="D342" s="1465">
        <v>3.4</v>
      </c>
      <c r="E342" s="1032" t="s">
        <v>1081</v>
      </c>
      <c r="F342" s="1036"/>
      <c r="G342" s="1116"/>
      <c r="H342" s="1165"/>
      <c r="I342" s="1145"/>
      <c r="J342" s="1119" t="str">
        <f>IF(OR(F344=0,AND(J343=0,O343=0)),$R$3,"")</f>
        <v/>
      </c>
      <c r="K342" s="1204"/>
      <c r="L342" s="1116"/>
      <c r="M342" s="1165"/>
      <c r="N342" s="1145"/>
      <c r="O342" s="1119"/>
    </row>
    <row r="343" spans="2:15" ht="16.5" thickBot="1">
      <c r="D343" s="1025"/>
      <c r="E343" s="1021"/>
      <c r="F343" s="1042" t="s">
        <v>1438</v>
      </c>
      <c r="G343" s="1043"/>
      <c r="H343" s="1044"/>
      <c r="I343" s="1045" t="s">
        <v>1484</v>
      </c>
      <c r="J343" s="1048">
        <f>重み!M46</f>
        <v>0.25</v>
      </c>
      <c r="K343" s="1042" t="s">
        <v>2123</v>
      </c>
      <c r="L343" s="1043"/>
      <c r="M343" s="1044"/>
      <c r="N343" s="1045" t="s">
        <v>1484</v>
      </c>
      <c r="O343" s="1048">
        <f>重み!N46</f>
        <v>0</v>
      </c>
    </row>
    <row r="344" spans="2:15" ht="16.5" thickBot="1">
      <c r="D344" s="1025"/>
      <c r="E344" s="1021"/>
      <c r="F344" s="1049">
        <v>3</v>
      </c>
      <c r="G344" s="1166" t="s">
        <v>3131</v>
      </c>
      <c r="H344" s="1054"/>
      <c r="I344" s="1192" t="s">
        <v>1487</v>
      </c>
      <c r="J344" s="1055"/>
      <c r="K344" s="1049">
        <v>3</v>
      </c>
      <c r="L344" s="1166" t="s">
        <v>2657</v>
      </c>
      <c r="M344" s="1055"/>
      <c r="N344" s="1166" t="s">
        <v>551</v>
      </c>
      <c r="O344" s="1171"/>
    </row>
    <row r="345" spans="2:15" ht="15.75" hidden="1">
      <c r="B345" s="1">
        <v>1</v>
      </c>
      <c r="C345" s="1">
        <v>1</v>
      </c>
      <c r="D345" s="1025"/>
      <c r="E345" s="1021"/>
      <c r="F345" s="1205"/>
      <c r="G345" s="1166" t="s">
        <v>1380</v>
      </c>
      <c r="H345" s="1054"/>
      <c r="I345" s="1054"/>
      <c r="J345" s="1055"/>
      <c r="K345" s="1205"/>
      <c r="L345" s="1054" t="s">
        <v>1380</v>
      </c>
      <c r="M345" s="1172"/>
      <c r="N345" s="1172"/>
      <c r="O345" s="1173"/>
    </row>
    <row r="346" spans="2:15" ht="36.75" hidden="1" customHeight="1">
      <c r="B346" s="1" t="s">
        <v>3105</v>
      </c>
      <c r="C346" s="1" t="s">
        <v>3105</v>
      </c>
      <c r="D346" s="1025"/>
      <c r="E346" s="1021"/>
      <c r="F346" s="1061" t="str">
        <f>IF(F344=$S$15,$T$10,IF(AND($O$3=$U$3,ROUNDDOWN(F344,0)=$S$10),$U$10,$T$10))</f>
        <v>　レベル　1</v>
      </c>
      <c r="G346" s="2896" t="s">
        <v>2658</v>
      </c>
      <c r="H346" s="2916"/>
      <c r="I346" s="2896" t="s">
        <v>3132</v>
      </c>
      <c r="J346" s="2902"/>
      <c r="K346" s="1061" t="str">
        <f>IF(K344=$S$15,$T$10,IF(AND($O$3=$U$3,ROUNDDOWN(K344,0)=$S$10),$U$10,$T$10))</f>
        <v>　レベル　1</v>
      </c>
      <c r="L346" s="2896" t="s">
        <v>3133</v>
      </c>
      <c r="M346" s="2902"/>
      <c r="N346" s="2896" t="s">
        <v>3133</v>
      </c>
      <c r="O346" s="2914"/>
    </row>
    <row r="347" spans="2:15" ht="15.75" hidden="1">
      <c r="B347" s="1">
        <v>3</v>
      </c>
      <c r="C347" s="1">
        <v>3</v>
      </c>
      <c r="D347" s="1025"/>
      <c r="E347" s="1021"/>
      <c r="F347" s="1061" t="str">
        <f>IF(F344=$S$15,$T$11,IF(AND($O$3=$U$3,ROUNDDOWN(F344,0)=$S$11),$U$11,$T$11))</f>
        <v>　レベル　2</v>
      </c>
      <c r="G347" s="2900" t="s">
        <v>2365</v>
      </c>
      <c r="H347" s="2917"/>
      <c r="I347" s="2900" t="s">
        <v>2365</v>
      </c>
      <c r="J347" s="2901"/>
      <c r="K347" s="1061" t="str">
        <f>IF(K344=$S$15,$T$11,IF(AND($O$3=$U$3,ROUNDDOWN(K344,0)=$S$11),$U$11,$T$11))</f>
        <v>　レベル　2</v>
      </c>
      <c r="L347" s="2900" t="s">
        <v>2365</v>
      </c>
      <c r="M347" s="2901"/>
      <c r="N347" s="2900" t="s">
        <v>2365</v>
      </c>
      <c r="O347" s="2901"/>
    </row>
    <row r="348" spans="2:15" ht="42" hidden="1" customHeight="1">
      <c r="B348" s="1" t="s">
        <v>3105</v>
      </c>
      <c r="C348" s="1" t="s">
        <v>3105</v>
      </c>
      <c r="D348" s="1025"/>
      <c r="E348" s="1021"/>
      <c r="F348" s="1061" t="str">
        <f>IF(F344=$S$15,$T$12,IF(AND($O$3=$U$3,ROUNDDOWN(F344,0)=$S$12),$U$12,$T$12))</f>
        <v>■レベル　3</v>
      </c>
      <c r="G348" s="2900" t="s">
        <v>2659</v>
      </c>
      <c r="H348" s="2917"/>
      <c r="I348" s="2900" t="s">
        <v>2660</v>
      </c>
      <c r="J348" s="2901"/>
      <c r="K348" s="1061" t="str">
        <f>IF(K344=$S$15,$T$12,IF(AND($O$3=$U$3,ROUNDDOWN(K344,0)=$S$12),$U$12,$T$12))</f>
        <v>■レベル　3</v>
      </c>
      <c r="L348" s="2900" t="s">
        <v>3134</v>
      </c>
      <c r="M348" s="2901"/>
      <c r="N348" s="2900" t="s">
        <v>3135</v>
      </c>
      <c r="O348" s="2901"/>
    </row>
    <row r="349" spans="2:15" ht="15.75" hidden="1">
      <c r="B349" s="1">
        <v>5</v>
      </c>
      <c r="C349" s="1">
        <v>5</v>
      </c>
      <c r="D349" s="1025"/>
      <c r="E349" s="1021"/>
      <c r="F349" s="1061" t="str">
        <f>IF(F344=$S$15,$T$13,IF(AND($O$3=$U$3,ROUNDDOWN(F344,0)=$S$13),$U$13,$T$13))</f>
        <v>　レベル　4</v>
      </c>
      <c r="G349" s="2900" t="s">
        <v>2365</v>
      </c>
      <c r="H349" s="2917"/>
      <c r="I349" s="2900" t="s">
        <v>2365</v>
      </c>
      <c r="J349" s="2901"/>
      <c r="K349" s="1061" t="str">
        <f>IF(K344=$S$15,$T$13,IF(AND($O$3=$U$3,ROUNDDOWN(K344,0)=$S$13),$U$13,$T$13))</f>
        <v>　レベル　4</v>
      </c>
      <c r="L349" s="2900" t="s">
        <v>2365</v>
      </c>
      <c r="M349" s="2901"/>
      <c r="N349" s="2900" t="s">
        <v>2365</v>
      </c>
      <c r="O349" s="2901"/>
    </row>
    <row r="350" spans="2:15" ht="45" hidden="1" customHeight="1">
      <c r="B350" s="1079">
        <v>0</v>
      </c>
      <c r="C350" s="1079">
        <v>0</v>
      </c>
      <c r="D350" s="1025"/>
      <c r="E350" s="1021"/>
      <c r="F350" s="1072" t="str">
        <f>IF(F344=$S$15,$T$14,IF(AND($O$3=$U$3,ROUNDDOWN(F344,0)=$S$14),$U$14,$T$14))</f>
        <v>　レベル　5</v>
      </c>
      <c r="G350" s="2898" t="s">
        <v>2661</v>
      </c>
      <c r="H350" s="2922"/>
      <c r="I350" s="2898" t="s">
        <v>2662</v>
      </c>
      <c r="J350" s="2899"/>
      <c r="K350" s="1072" t="str">
        <f>IF(K344=$S$15,$T$14,IF(AND($O$3=$U$3,ROUNDDOWN(K344,0)=$S$14),$U$14,$T$14))</f>
        <v>　レベル　5</v>
      </c>
      <c r="L350" s="2898" t="s">
        <v>3136</v>
      </c>
      <c r="M350" s="2899"/>
      <c r="N350" s="2898" t="s">
        <v>3137</v>
      </c>
      <c r="O350" s="2899"/>
    </row>
    <row r="351" spans="2:15" ht="15.75" hidden="1">
      <c r="D351" s="1025"/>
      <c r="E351" s="1021"/>
      <c r="F351" s="1168"/>
      <c r="G351" s="1166" t="s">
        <v>1379</v>
      </c>
      <c r="H351" s="1055"/>
      <c r="I351" s="1187"/>
      <c r="J351" s="1207"/>
      <c r="K351" s="1168"/>
      <c r="L351" s="1187" t="s">
        <v>1379</v>
      </c>
      <c r="M351" s="1187"/>
      <c r="N351" s="1166"/>
      <c r="O351" s="1055"/>
    </row>
    <row r="352" spans="2:15" ht="36" customHeight="1">
      <c r="D352" s="1025"/>
      <c r="E352" s="1021"/>
      <c r="F352" s="1169" t="str">
        <f>IF(F344=$S$15,$T$10,IF(AND($O$3&lt;&gt;$U$3,ROUNDDOWN(F344,0)=$S$10),$U$10,$T$10))</f>
        <v>　レベル　1</v>
      </c>
      <c r="G352" s="2896" t="s">
        <v>2663</v>
      </c>
      <c r="H352" s="2914"/>
      <c r="I352" s="2896" t="s">
        <v>2664</v>
      </c>
      <c r="J352" s="2902"/>
      <c r="K352" s="1169" t="str">
        <f>IF(K344=$S$15,$T$10,IF(AND($O$3&lt;&gt;$U$3,ROUNDDOWN(K344,0)=$S$10),$U$10,$T$10))</f>
        <v>　レベル　1</v>
      </c>
      <c r="L352" s="2896" t="s">
        <v>3133</v>
      </c>
      <c r="M352" s="2902"/>
      <c r="N352" s="2896" t="s">
        <v>2665</v>
      </c>
      <c r="O352" s="2914"/>
    </row>
    <row r="353" spans="2:15" ht="15.75" customHeight="1">
      <c r="D353" s="1025"/>
      <c r="E353" s="1021"/>
      <c r="F353" s="1061" t="str">
        <f>IF(F344=$S$15,$T$11,IF(AND($O$3&lt;&gt;$U$3,ROUNDDOWN(F344,0)=$S$11),$U$11,$T$11))</f>
        <v>　レベル　2</v>
      </c>
      <c r="G353" s="2900" t="s">
        <v>2365</v>
      </c>
      <c r="H353" s="2901"/>
      <c r="I353" s="2900" t="s">
        <v>2365</v>
      </c>
      <c r="J353" s="2901"/>
      <c r="K353" s="1061" t="str">
        <f>IF(K344=$S$15,$T$11,IF(AND($O$3&lt;&gt;$U$3,ROUNDDOWN(K344,0)=$S$11),$U$11,$T$11))</f>
        <v>　レベル　2</v>
      </c>
      <c r="L353" s="2900" t="s">
        <v>2365</v>
      </c>
      <c r="M353" s="2901"/>
      <c r="N353" s="2900" t="s">
        <v>2365</v>
      </c>
      <c r="O353" s="2901"/>
    </row>
    <row r="354" spans="2:15" ht="38.25" customHeight="1">
      <c r="D354" s="1025"/>
      <c r="E354" s="1021"/>
      <c r="F354" s="1061" t="str">
        <f>IF(F344=$S$15,$T$12,IF(AND($O$3&lt;&gt;$U$3,ROUNDDOWN(F344,0)=$S$12),$U$12,$T$12))</f>
        <v>　レベル　3</v>
      </c>
      <c r="G354" s="2900" t="s">
        <v>3138</v>
      </c>
      <c r="H354" s="2901"/>
      <c r="I354" s="2900" t="s">
        <v>2666</v>
      </c>
      <c r="J354" s="2901"/>
      <c r="K354" s="1061" t="str">
        <f>IF(K344=$S$15,$T$12,IF(AND($O$3&lt;&gt;$U$3,ROUNDDOWN(K344,0)=$S$12),$U$12,$T$12))</f>
        <v>　レベル　3</v>
      </c>
      <c r="L354" s="2900" t="s">
        <v>234</v>
      </c>
      <c r="M354" s="2901"/>
      <c r="N354" s="2900" t="s">
        <v>2298</v>
      </c>
      <c r="O354" s="2901"/>
    </row>
    <row r="355" spans="2:15" ht="15.75" customHeight="1">
      <c r="D355" s="1025"/>
      <c r="E355" s="1021"/>
      <c r="F355" s="1061" t="str">
        <f>IF(F344=$S$15,$T$13,IF(AND($O$3&lt;&gt;$U$3,ROUNDDOWN(F344,0)=$S$13),$U$13,$T$13))</f>
        <v>　レベル　4</v>
      </c>
      <c r="G355" s="2900" t="s">
        <v>2365</v>
      </c>
      <c r="H355" s="2901"/>
      <c r="I355" s="2900" t="s">
        <v>2365</v>
      </c>
      <c r="J355" s="2901"/>
      <c r="K355" s="1061" t="str">
        <f>IF(K344=$S$15,$T$13,IF(AND($O$3&lt;&gt;$U$3,ROUNDDOWN(K344,0)=$S$13),$U$13,$T$13))</f>
        <v>　レベル　4</v>
      </c>
      <c r="L355" s="2900" t="s">
        <v>2365</v>
      </c>
      <c r="M355" s="2901"/>
      <c r="N355" s="2900" t="s">
        <v>2365</v>
      </c>
      <c r="O355" s="2901"/>
    </row>
    <row r="356" spans="2:15" ht="46.5" customHeight="1">
      <c r="D356" s="1025"/>
      <c r="E356" s="1021"/>
      <c r="F356" s="1072" t="str">
        <f>IF(F344=$S$15,$T$14,IF(AND($O$3&lt;&gt;$U$3,ROUNDDOWN(F344,0)=$S$14),$U$14,$T$14))</f>
        <v>　レベル　5</v>
      </c>
      <c r="G356" s="2898" t="s">
        <v>2138</v>
      </c>
      <c r="H356" s="2899"/>
      <c r="I356" s="2898" t="s">
        <v>2299</v>
      </c>
      <c r="J356" s="2899"/>
      <c r="K356" s="1072" t="str">
        <f>IF(K344=$S$15,$T$14,IF(AND($O$3&lt;&gt;$U$3,ROUNDDOWN(K344,0)=$S$14),$U$14,$T$14))</f>
        <v>　レベル　5</v>
      </c>
      <c r="L356" s="2898" t="s">
        <v>3136</v>
      </c>
      <c r="M356" s="2899"/>
      <c r="N356" s="2898" t="s">
        <v>2139</v>
      </c>
      <c r="O356" s="2899"/>
    </row>
    <row r="357" spans="2:15" ht="15.75">
      <c r="D357" s="1025"/>
      <c r="E357" s="1232"/>
      <c r="F357" s="1232"/>
      <c r="G357" s="1233"/>
      <c r="H357" s="1233"/>
      <c r="I357" s="1233"/>
      <c r="J357" s="1233"/>
      <c r="K357" s="1233"/>
      <c r="L357" s="1233"/>
      <c r="M357" s="1233"/>
      <c r="N357" s="1233"/>
      <c r="O357" s="1233"/>
    </row>
    <row r="358" spans="2:15" ht="15.75">
      <c r="D358" s="1465">
        <v>4</v>
      </c>
      <c r="E358" s="1162" t="s">
        <v>1082</v>
      </c>
      <c r="F358" s="1162"/>
      <c r="G358" s="1164"/>
      <c r="H358" s="1164"/>
      <c r="I358" s="1164"/>
      <c r="J358" s="1164"/>
      <c r="K358" s="1164"/>
      <c r="L358" s="1164"/>
      <c r="M358" s="1164"/>
      <c r="N358" s="1164"/>
      <c r="O358" s="1164"/>
    </row>
    <row r="359" spans="2:15" ht="15.75">
      <c r="D359" s="1465">
        <v>4.0999999999999996</v>
      </c>
      <c r="E359" s="1162" t="s">
        <v>2140</v>
      </c>
      <c r="F359" s="1033"/>
      <c r="G359" s="1163"/>
      <c r="H359" s="1164"/>
      <c r="I359" s="1164"/>
      <c r="J359" s="1164"/>
      <c r="K359" s="1164"/>
      <c r="L359" s="1164"/>
      <c r="M359" s="1164"/>
      <c r="N359" s="1164"/>
      <c r="O359" s="1164"/>
    </row>
    <row r="360" spans="2:15" ht="15.75">
      <c r="D360" s="1025"/>
      <c r="E360" s="1030"/>
      <c r="F360" s="1036" t="s">
        <v>2141</v>
      </c>
      <c r="G360" s="1116"/>
      <c r="H360" s="1165"/>
      <c r="I360" s="1145"/>
      <c r="J360" s="1119" t="str">
        <f>IF(OR(F362=0,AND(J361=0,O361=0)),$R$3,"")</f>
        <v/>
      </c>
      <c r="K360" s="1204"/>
      <c r="L360" s="1116"/>
      <c r="M360" s="1165"/>
      <c r="N360" s="1145"/>
      <c r="O360" s="1119"/>
    </row>
    <row r="361" spans="2:15" ht="16.5" thickBot="1">
      <c r="D361" s="1025"/>
      <c r="E361" s="1030"/>
      <c r="F361" s="1042" t="s">
        <v>1626</v>
      </c>
      <c r="G361" s="1043"/>
      <c r="H361" s="1044"/>
      <c r="I361" s="1045" t="s">
        <v>1484</v>
      </c>
      <c r="J361" s="1048">
        <f>重み!M49</f>
        <v>0.33333333333333331</v>
      </c>
      <c r="K361" s="1042" t="s">
        <v>2123</v>
      </c>
      <c r="L361" s="1043"/>
      <c r="M361" s="1044"/>
      <c r="N361" s="1045" t="s">
        <v>1484</v>
      </c>
      <c r="O361" s="1048">
        <f>重み!N49</f>
        <v>0</v>
      </c>
    </row>
    <row r="362" spans="2:15" ht="16.5" thickBot="1">
      <c r="D362" s="1025"/>
      <c r="E362" s="1030"/>
      <c r="F362" s="1049">
        <v>3</v>
      </c>
      <c r="G362" s="1166" t="s">
        <v>2142</v>
      </c>
      <c r="H362" s="1055"/>
      <c r="I362" s="1256" t="s">
        <v>1627</v>
      </c>
      <c r="J362" s="1257"/>
      <c r="K362" s="1049">
        <v>3</v>
      </c>
      <c r="L362" s="1166" t="s">
        <v>2143</v>
      </c>
      <c r="M362" s="1055"/>
      <c r="N362" s="1166"/>
      <c r="O362" s="1171"/>
    </row>
    <row r="363" spans="2:15" ht="19.5" customHeight="1">
      <c r="B363" s="1" t="s">
        <v>2364</v>
      </c>
      <c r="C363" s="1" t="s">
        <v>2364</v>
      </c>
      <c r="D363" s="1025"/>
      <c r="E363" s="1030"/>
      <c r="F363" s="1056" t="str">
        <f>IF(F362=$S$15,$T$10,IF(ROUNDDOWN(F362,0)=$S$10,$U$10,$T$10))</f>
        <v>　レベル　1</v>
      </c>
      <c r="G363" s="2896" t="s">
        <v>2365</v>
      </c>
      <c r="H363" s="2914"/>
      <c r="I363" s="2954" t="s">
        <v>497</v>
      </c>
      <c r="J363" s="2955"/>
      <c r="K363" s="1056" t="str">
        <f>IF(K362=$S$15,$T$10,IF(ROUNDDOWN(K362,0)=$S$10,$U$10,$T$10))</f>
        <v>　レベル　1</v>
      </c>
      <c r="L363" s="2900" t="s">
        <v>2365</v>
      </c>
      <c r="M363" s="2906"/>
      <c r="N363" s="2906"/>
      <c r="O363" s="2901"/>
    </row>
    <row r="364" spans="2:15" ht="19.5" customHeight="1">
      <c r="B364" s="1" t="s">
        <v>2364</v>
      </c>
      <c r="C364" s="1" t="s">
        <v>2364</v>
      </c>
      <c r="D364" s="1025"/>
      <c r="E364" s="1030"/>
      <c r="F364" s="1061" t="str">
        <f>IF(F362=$S$15,$T$11,IF(ROUNDDOWN(F362,0)=$S$11,$U$11,$T$11))</f>
        <v>　レベル　2</v>
      </c>
      <c r="G364" s="2900" t="s">
        <v>2365</v>
      </c>
      <c r="H364" s="2901"/>
      <c r="I364" s="2954" t="s">
        <v>2365</v>
      </c>
      <c r="J364" s="2956"/>
      <c r="K364" s="1061" t="str">
        <f>IF(K362=$S$15,$T$11,IF(ROUNDDOWN(K362,0)=$S$11,$U$11,$T$11))</f>
        <v>　レベル　2</v>
      </c>
      <c r="L364" s="2900" t="s">
        <v>2365</v>
      </c>
      <c r="M364" s="2917"/>
      <c r="N364" s="2917"/>
      <c r="O364" s="2943"/>
    </row>
    <row r="365" spans="2:15" ht="63.75" customHeight="1">
      <c r="B365" s="1">
        <v>3</v>
      </c>
      <c r="C365" s="1">
        <v>3</v>
      </c>
      <c r="D365" s="1025"/>
      <c r="E365" s="1030"/>
      <c r="F365" s="1061" t="str">
        <f>IF(F362=$S$15,$T$12,IF(ROUNDDOWN(F362,0)=$S$12,$U$12,$T$12))</f>
        <v>■レベル　3</v>
      </c>
      <c r="G365" s="2900" t="s">
        <v>2144</v>
      </c>
      <c r="H365" s="2901"/>
      <c r="I365" s="2954" t="s">
        <v>2145</v>
      </c>
      <c r="J365" s="2955"/>
      <c r="K365" s="1061" t="str">
        <f>IF(K362=$S$15,$T$12,IF(ROUNDDOWN(K362,0)=$S$12,$U$12,$T$12))</f>
        <v>■レベル　3</v>
      </c>
      <c r="L365" s="2900" t="s">
        <v>2144</v>
      </c>
      <c r="M365" s="2906"/>
      <c r="N365" s="2906"/>
      <c r="O365" s="2901"/>
    </row>
    <row r="366" spans="2:15" ht="83.25" customHeight="1">
      <c r="B366" s="1">
        <v>4</v>
      </c>
      <c r="C366" s="1">
        <v>4</v>
      </c>
      <c r="D366" s="1025"/>
      <c r="E366" s="1030"/>
      <c r="F366" s="1061" t="str">
        <f>IF(F362=$S$15,$T$13,IF(ROUNDDOWN(F362,0)=$S$13,$U$13,$T$13))</f>
        <v>　レベル　4</v>
      </c>
      <c r="G366" s="2900" t="s">
        <v>2146</v>
      </c>
      <c r="H366" s="2901"/>
      <c r="I366" s="2954" t="s">
        <v>1628</v>
      </c>
      <c r="J366" s="2955"/>
      <c r="K366" s="1061" t="str">
        <f>IF(K362=$S$15,$T$13,IF(ROUNDDOWN(K362,0)=$S$13,$U$13,$T$13))</f>
        <v>　レベル　4</v>
      </c>
      <c r="L366" s="2900" t="s">
        <v>1629</v>
      </c>
      <c r="M366" s="2906"/>
      <c r="N366" s="2906"/>
      <c r="O366" s="2901"/>
    </row>
    <row r="367" spans="2:15" ht="110.25" customHeight="1">
      <c r="B367" s="1">
        <v>5</v>
      </c>
      <c r="C367" s="1">
        <v>5</v>
      </c>
      <c r="D367" s="1025"/>
      <c r="E367" s="1030"/>
      <c r="F367" s="1072" t="str">
        <f>IF(F362=$S$15,$T$14,IF(ROUNDDOWN(F362,0)=$S$14,$U$14,$T$14))</f>
        <v>　レベル　5</v>
      </c>
      <c r="G367" s="2898" t="s">
        <v>1630</v>
      </c>
      <c r="H367" s="2899"/>
      <c r="I367" s="2957" t="s">
        <v>1631</v>
      </c>
      <c r="J367" s="2958"/>
      <c r="K367" s="1072" t="str">
        <f>IF(K362=$S$15,$T$14,IF(ROUNDDOWN(K362,0)=$S$14,$U$14,$T$14))</f>
        <v>　レベル　5</v>
      </c>
      <c r="L367" s="2898" t="s">
        <v>1630</v>
      </c>
      <c r="M367" s="2905"/>
      <c r="N367" s="2905"/>
      <c r="O367" s="2899"/>
    </row>
    <row r="368" spans="2:15" ht="15.75">
      <c r="B368" s="1079">
        <v>0</v>
      </c>
      <c r="C368" s="1079">
        <v>0</v>
      </c>
      <c r="D368" s="1025"/>
      <c r="E368" s="1026"/>
      <c r="F368" s="1026"/>
      <c r="G368" s="1115"/>
      <c r="H368" s="1115"/>
      <c r="I368" s="1115"/>
      <c r="J368" s="1115"/>
      <c r="K368" s="1115"/>
      <c r="L368" s="1115"/>
      <c r="M368" s="1115"/>
      <c r="N368" s="1115"/>
      <c r="O368" s="1115"/>
    </row>
    <row r="369" spans="2:15" ht="15.75">
      <c r="D369" s="1025"/>
      <c r="E369" s="1178"/>
      <c r="F369" s="1036" t="s">
        <v>2147</v>
      </c>
      <c r="G369" s="1116"/>
      <c r="H369" s="1165"/>
      <c r="I369" s="1145"/>
      <c r="J369" s="1119" t="str">
        <f>IF(OR(F371=0,AND(J370=0,O370=0)),$R$3,"")</f>
        <v>&lt;評価しない&gt;</v>
      </c>
      <c r="K369" s="1204"/>
      <c r="L369" s="1116"/>
      <c r="M369" s="1165"/>
      <c r="N369" s="1145"/>
      <c r="O369" s="1119"/>
    </row>
    <row r="370" spans="2:15" ht="15.75" hidden="1">
      <c r="B370" s="1234" t="s">
        <v>2148</v>
      </c>
      <c r="C370" s="1234"/>
      <c r="D370" s="1025"/>
      <c r="E370" s="1178"/>
      <c r="F370" s="1042" t="s">
        <v>3090</v>
      </c>
      <c r="G370" s="1043"/>
      <c r="H370" s="1044"/>
      <c r="I370" s="1045" t="s">
        <v>1484</v>
      </c>
      <c r="J370" s="1048">
        <f>重み!M50</f>
        <v>0</v>
      </c>
      <c r="K370" s="1042" t="s">
        <v>2123</v>
      </c>
      <c r="L370" s="1043"/>
      <c r="M370" s="1044"/>
      <c r="N370" s="1045" t="s">
        <v>1484</v>
      </c>
      <c r="O370" s="1048">
        <f>重み!N50</f>
        <v>0</v>
      </c>
    </row>
    <row r="371" spans="2:15" ht="16.5" hidden="1" thickBot="1">
      <c r="D371" s="1025"/>
      <c r="E371" s="1178"/>
      <c r="F371" s="1049">
        <v>0</v>
      </c>
      <c r="G371" s="1166" t="s">
        <v>1632</v>
      </c>
      <c r="H371" s="1054"/>
      <c r="I371" s="1192"/>
      <c r="J371" s="1055"/>
      <c r="K371" s="1049">
        <v>0</v>
      </c>
      <c r="L371" s="1166" t="s">
        <v>2143</v>
      </c>
      <c r="M371" s="1055"/>
      <c r="N371" s="1166"/>
      <c r="O371" s="1171"/>
    </row>
    <row r="372" spans="2:15" ht="15.75" hidden="1">
      <c r="B372" s="1">
        <v>1</v>
      </c>
      <c r="C372" s="1">
        <v>1</v>
      </c>
      <c r="D372" s="1025"/>
      <c r="E372" s="1179"/>
      <c r="F372" s="1056" t="str">
        <f>IF(F371=$S$15,$T$10,IF(ROUNDDOWN(F371,0)=$S$10,$U$10,$T$10))</f>
        <v>　レベル　1</v>
      </c>
      <c r="G372" s="2900" t="s">
        <v>239</v>
      </c>
      <c r="H372" s="2906"/>
      <c r="I372" s="2906"/>
      <c r="J372" s="2901"/>
      <c r="K372" s="1056" t="str">
        <f>IF(K371=$S$15,$T$10,IF(ROUNDDOWN(K371,0)=$S$10,$U$10,$T$10))</f>
        <v>　レベル　1</v>
      </c>
      <c r="L372" s="2900" t="s">
        <v>239</v>
      </c>
      <c r="M372" s="2906"/>
      <c r="N372" s="2906"/>
      <c r="O372" s="2901"/>
    </row>
    <row r="373" spans="2:15" ht="15.75" hidden="1">
      <c r="B373" s="1">
        <v>2</v>
      </c>
      <c r="C373" s="1">
        <v>2</v>
      </c>
      <c r="D373" s="1025"/>
      <c r="E373" s="1179"/>
      <c r="F373" s="1061" t="str">
        <f>IF(F371=$S$15,$T$11,IF(ROUNDDOWN(F371,0)=$S$11,$U$11,$T$11))</f>
        <v>　レベル　2</v>
      </c>
      <c r="G373" s="2900" t="s">
        <v>2149</v>
      </c>
      <c r="H373" s="2906"/>
      <c r="I373" s="2906"/>
      <c r="J373" s="2901"/>
      <c r="K373" s="1061" t="str">
        <f>IF(K371=$S$15,$T$11,IF(ROUNDDOWN(K371,0)=$S$11,$U$11,$T$11))</f>
        <v>　レベル　2</v>
      </c>
      <c r="L373" s="2900" t="s">
        <v>2149</v>
      </c>
      <c r="M373" s="2906"/>
      <c r="N373" s="2906"/>
      <c r="O373" s="2901"/>
    </row>
    <row r="374" spans="2:15" ht="15.75" hidden="1">
      <c r="B374" s="1">
        <v>3</v>
      </c>
      <c r="C374" s="1">
        <v>3</v>
      </c>
      <c r="D374" s="1025"/>
      <c r="E374" s="1179"/>
      <c r="F374" s="1061" t="str">
        <f>IF(F371=$S$15,$T$12,IF(ROUNDDOWN(F371,0)=$S$12,$U$12,$T$12))</f>
        <v>　レベル　3</v>
      </c>
      <c r="G374" s="2900" t="s">
        <v>2150</v>
      </c>
      <c r="H374" s="2906"/>
      <c r="I374" s="2906"/>
      <c r="J374" s="2901"/>
      <c r="K374" s="1061" t="str">
        <f>IF(K371=$S$15,$T$12,IF(ROUNDDOWN(K371,0)=$S$12,$U$12,$T$12))</f>
        <v>　レベル　3</v>
      </c>
      <c r="L374" s="2900" t="s">
        <v>2150</v>
      </c>
      <c r="M374" s="2917"/>
      <c r="N374" s="2917"/>
      <c r="O374" s="2943"/>
    </row>
    <row r="375" spans="2:15" ht="15.75" hidden="1">
      <c r="B375" s="1" t="s">
        <v>2364</v>
      </c>
      <c r="C375" s="1" t="s">
        <v>2364</v>
      </c>
      <c r="D375" s="1025"/>
      <c r="E375" s="1179"/>
      <c r="F375" s="1061" t="str">
        <f>IF(F371=$S$15,$T$13,IF(ROUNDDOWN(F371,0)=$S$13,$U$13,$T$13))</f>
        <v>　レベル　4</v>
      </c>
      <c r="G375" s="2900" t="s">
        <v>2365</v>
      </c>
      <c r="H375" s="2906"/>
      <c r="I375" s="2906"/>
      <c r="J375" s="2901"/>
      <c r="K375" s="1061" t="str">
        <f>IF(K371=$S$15,$T$13,IF(ROUNDDOWN(K371,0)=$S$13,$U$13,$T$13))</f>
        <v>　レベル　4</v>
      </c>
      <c r="L375" s="2900" t="s">
        <v>2365</v>
      </c>
      <c r="M375" s="2906"/>
      <c r="N375" s="2906"/>
      <c r="O375" s="2901"/>
    </row>
    <row r="376" spans="2:15" ht="15.75" hidden="1">
      <c r="B376" s="1" t="s">
        <v>2364</v>
      </c>
      <c r="C376" s="1" t="s">
        <v>2364</v>
      </c>
      <c r="D376" s="1025"/>
      <c r="E376" s="1179"/>
      <c r="F376" s="1072" t="str">
        <f>IF(F371=$S$15,$T$14,IF(ROUNDDOWN(F371,0)=$S$14,$U$14,$T$14))</f>
        <v>　レベル　5</v>
      </c>
      <c r="G376" s="2898" t="s">
        <v>2365</v>
      </c>
      <c r="H376" s="2905"/>
      <c r="I376" s="2905"/>
      <c r="J376" s="2899"/>
      <c r="K376" s="1072" t="str">
        <f>IF(K371=$S$15,$T$14,IF(ROUNDDOWN(K371,0)=$S$14,$U$14,$T$14))</f>
        <v>　レベル　5</v>
      </c>
      <c r="L376" s="2900" t="s">
        <v>2365</v>
      </c>
      <c r="M376" s="2906"/>
      <c r="N376" s="2906"/>
      <c r="O376" s="2901"/>
    </row>
    <row r="377" spans="2:15" ht="15.75" hidden="1">
      <c r="B377" s="1079">
        <v>0</v>
      </c>
      <c r="C377" s="1079">
        <v>0</v>
      </c>
      <c r="D377" s="1025"/>
      <c r="E377" s="1026"/>
      <c r="F377" s="1258"/>
      <c r="G377" s="1222"/>
      <c r="H377" s="1115"/>
      <c r="I377" s="1115"/>
      <c r="J377" s="1115"/>
      <c r="K377" s="1115"/>
      <c r="L377" s="1115"/>
      <c r="M377" s="1115"/>
      <c r="N377" s="1115"/>
      <c r="O377" s="1115"/>
    </row>
    <row r="378" spans="2:15" ht="15.75" hidden="1">
      <c r="D378" s="1025"/>
      <c r="E378" s="1026"/>
      <c r="F378" s="2509" t="s">
        <v>2151</v>
      </c>
      <c r="G378" s="1116"/>
      <c r="H378" s="1165"/>
      <c r="I378" s="1145"/>
      <c r="J378" s="1119" t="str">
        <f>IF(OR(F380=0,AND(J379=0,O379=0)),$R$3,"")</f>
        <v>&lt;評価しない&gt;</v>
      </c>
      <c r="K378" s="1204"/>
      <c r="L378" s="1116"/>
      <c r="M378" s="1165"/>
      <c r="N378" s="1145"/>
      <c r="O378" s="1119"/>
    </row>
    <row r="379" spans="2:15" ht="15.75" hidden="1">
      <c r="D379" s="1025"/>
      <c r="E379" s="1026"/>
      <c r="F379" s="1042" t="s">
        <v>1651</v>
      </c>
      <c r="G379" s="1043"/>
      <c r="H379" s="1044"/>
      <c r="I379" s="1045" t="s">
        <v>1484</v>
      </c>
      <c r="J379" s="1048">
        <f>重み!M51</f>
        <v>0.33333333333333331</v>
      </c>
      <c r="K379" s="1042" t="s">
        <v>2123</v>
      </c>
      <c r="L379" s="1043"/>
      <c r="M379" s="1044"/>
      <c r="N379" s="1045" t="s">
        <v>1484</v>
      </c>
      <c r="O379" s="1048">
        <f>重み!N51</f>
        <v>0</v>
      </c>
    </row>
    <row r="380" spans="2:15" ht="16.5" hidden="1" thickBot="1">
      <c r="D380" s="1025"/>
      <c r="E380" s="1026"/>
      <c r="F380" s="1049">
        <v>0</v>
      </c>
      <c r="G380" s="1171" t="s">
        <v>2152</v>
      </c>
      <c r="H380" s="1171"/>
      <c r="I380" s="1256" t="s">
        <v>240</v>
      </c>
      <c r="J380" s="1257"/>
      <c r="K380" s="1049">
        <v>0</v>
      </c>
      <c r="L380" s="1166" t="s">
        <v>998</v>
      </c>
      <c r="M380" s="1055"/>
      <c r="N380" s="1166"/>
      <c r="O380" s="1171"/>
    </row>
    <row r="381" spans="2:15" ht="15.75" hidden="1">
      <c r="B381" s="1">
        <v>1</v>
      </c>
      <c r="C381" s="1">
        <v>1</v>
      </c>
      <c r="D381" s="1025"/>
      <c r="E381" s="1026"/>
      <c r="F381" s="1056" t="str">
        <f>IF(F380=$S$15,$T$10,IF(ROUNDDOWN(F380,0)=$S$10,$U$10,$T$10))</f>
        <v>　レベル　1</v>
      </c>
      <c r="G381" s="2959" t="s">
        <v>241</v>
      </c>
      <c r="H381" s="2960"/>
      <c r="I381" s="2954" t="s">
        <v>241</v>
      </c>
      <c r="J381" s="2955"/>
      <c r="K381" s="1056" t="str">
        <f>IF(K380=$S$15,$T$10,IF(ROUNDDOWN(K380,0)=$S$10,$U$10,$T$10))</f>
        <v>　レベル　1</v>
      </c>
      <c r="L381" s="2896" t="s">
        <v>457</v>
      </c>
      <c r="M381" s="2916"/>
      <c r="N381" s="2916"/>
      <c r="O381" s="2902"/>
    </row>
    <row r="382" spans="2:15" ht="15.75" hidden="1">
      <c r="B382" s="1" t="s">
        <v>242</v>
      </c>
      <c r="C382" s="1" t="s">
        <v>242</v>
      </c>
      <c r="D382" s="1025"/>
      <c r="E382" s="1026"/>
      <c r="F382" s="1061" t="str">
        <f>IF(F380=$S$15,$T$11,IF(ROUNDDOWN(F380,0)=$S$11,$U$11,$T$11))</f>
        <v>　レベル　2</v>
      </c>
      <c r="G382" s="2900" t="s">
        <v>2365</v>
      </c>
      <c r="H382" s="2943"/>
      <c r="I382" s="2954" t="s">
        <v>2365</v>
      </c>
      <c r="J382" s="2956"/>
      <c r="K382" s="1061" t="str">
        <f>IF(K380=$S$15,$T$11,IF(ROUNDDOWN(K380,0)=$S$11,$U$11,$T$11))</f>
        <v>　レベル　2</v>
      </c>
      <c r="L382" s="2933" t="s">
        <v>2365</v>
      </c>
      <c r="M382" s="2934"/>
      <c r="N382" s="2934"/>
      <c r="O382" s="2935"/>
    </row>
    <row r="383" spans="2:15" ht="15.75" hidden="1">
      <c r="B383" s="1">
        <v>3</v>
      </c>
      <c r="C383" s="1">
        <v>3</v>
      </c>
      <c r="D383" s="1025"/>
      <c r="E383" s="1026"/>
      <c r="F383" s="1061" t="str">
        <f>IF(F380=$S$15,$T$12,IF(ROUNDDOWN(F380,0)=$S$12,$U$12,$T$12))</f>
        <v>　レベル　3</v>
      </c>
      <c r="G383" s="2900" t="s">
        <v>2153</v>
      </c>
      <c r="H383" s="2943"/>
      <c r="I383" s="2954" t="s">
        <v>243</v>
      </c>
      <c r="J383" s="2955"/>
      <c r="K383" s="1061" t="str">
        <f>IF(K380=$S$15,$T$12,IF(ROUNDDOWN(K380,0)=$S$12,$U$12,$T$12))</f>
        <v>　レベル　3</v>
      </c>
      <c r="L383" s="2933" t="s">
        <v>244</v>
      </c>
      <c r="M383" s="2934"/>
      <c r="N383" s="2934"/>
      <c r="O383" s="2935"/>
    </row>
    <row r="384" spans="2:15" ht="15.75" hidden="1">
      <c r="B384" s="1">
        <v>4</v>
      </c>
      <c r="C384" s="1">
        <v>4</v>
      </c>
      <c r="D384" s="1025"/>
      <c r="E384" s="1026"/>
      <c r="F384" s="1061" t="str">
        <f>IF(F380=$S$15,$T$13,IF(ROUNDDOWN(F380,0)=$S$13,$U$13,$T$13))</f>
        <v>　レベル　4</v>
      </c>
      <c r="G384" s="2900" t="s">
        <v>245</v>
      </c>
      <c r="H384" s="2943"/>
      <c r="I384" s="2954" t="s">
        <v>2365</v>
      </c>
      <c r="J384" s="2955"/>
      <c r="K384" s="1061" t="str">
        <f>IF(K380=$S$15,$T$13,IF(ROUNDDOWN(K380,0)=$S$13,$U$13,$T$13))</f>
        <v>　レベル　4</v>
      </c>
      <c r="L384" s="2933" t="s">
        <v>245</v>
      </c>
      <c r="M384" s="2934"/>
      <c r="N384" s="2934"/>
      <c r="O384" s="2935"/>
    </row>
    <row r="385" spans="2:15" ht="15.75" hidden="1">
      <c r="B385" s="1">
        <v>5</v>
      </c>
      <c r="C385" s="1">
        <v>5</v>
      </c>
      <c r="D385" s="1025"/>
      <c r="E385" s="1026"/>
      <c r="F385" s="1072" t="str">
        <f>IF(F380=$S$15,$T$14,IF(ROUNDDOWN(F380,0)=$S$14,$U$14,$T$14))</f>
        <v>　レベル　5</v>
      </c>
      <c r="G385" s="2961" t="s">
        <v>246</v>
      </c>
      <c r="H385" s="2962"/>
      <c r="I385" s="2957" t="s">
        <v>1127</v>
      </c>
      <c r="J385" s="2958"/>
      <c r="K385" s="1072" t="str">
        <f>IF(K380=$S$15,$T$14,IF(ROUNDDOWN(K380,0)=$S$14,$U$14,$T$14))</f>
        <v>　レベル　5</v>
      </c>
      <c r="L385" s="2925" t="s">
        <v>246</v>
      </c>
      <c r="M385" s="2944"/>
      <c r="N385" s="2944"/>
      <c r="O385" s="2945"/>
    </row>
    <row r="386" spans="2:15" ht="15.75" hidden="1">
      <c r="B386" s="1079">
        <v>0</v>
      </c>
      <c r="C386" s="1079">
        <v>0</v>
      </c>
      <c r="D386" s="1025"/>
      <c r="E386" s="1030"/>
      <c r="F386" s="1030"/>
      <c r="G386" s="1170"/>
      <c r="H386" s="1170"/>
      <c r="I386" s="1170"/>
      <c r="J386" s="1170"/>
      <c r="K386" s="1170"/>
      <c r="L386" s="1170"/>
      <c r="M386" s="1170"/>
      <c r="N386" s="1170"/>
      <c r="O386" s="1170"/>
    </row>
    <row r="387" spans="2:15" ht="15.75" hidden="1">
      <c r="D387" s="1025"/>
      <c r="E387" s="1178"/>
      <c r="F387" s="2509" t="s">
        <v>2154</v>
      </c>
      <c r="G387" s="1116"/>
      <c r="H387" s="1165"/>
      <c r="I387" s="1145"/>
      <c r="J387" s="1119" t="str">
        <f>IF(OR(F389=0,AND(J388=0,O388=0)),$R$3,"")</f>
        <v>&lt;評価しない&gt;</v>
      </c>
      <c r="K387" s="1204"/>
      <c r="L387" s="1116"/>
      <c r="M387" s="1165"/>
      <c r="N387" s="1145"/>
      <c r="O387" s="1119"/>
    </row>
    <row r="388" spans="2:15" ht="15.75" hidden="1">
      <c r="D388" s="1025"/>
      <c r="E388" s="1178"/>
      <c r="F388" s="1042" t="s">
        <v>352</v>
      </c>
      <c r="G388" s="1043"/>
      <c r="H388" s="1044"/>
      <c r="I388" s="1045" t="s">
        <v>1484</v>
      </c>
      <c r="J388" s="1048">
        <f>重み!M52</f>
        <v>0.33333333333333331</v>
      </c>
      <c r="K388" s="1042" t="s">
        <v>2123</v>
      </c>
      <c r="L388" s="1043"/>
      <c r="M388" s="1044"/>
      <c r="N388" s="1045" t="s">
        <v>1484</v>
      </c>
      <c r="O388" s="1048">
        <f>重み!N52</f>
        <v>0</v>
      </c>
    </row>
    <row r="389" spans="2:15" ht="16.5" hidden="1" thickBot="1">
      <c r="D389" s="1025"/>
      <c r="E389" s="1178"/>
      <c r="F389" s="1049">
        <v>0</v>
      </c>
      <c r="G389" s="1166" t="s">
        <v>2155</v>
      </c>
      <c r="H389" s="1054"/>
      <c r="I389" s="1192"/>
      <c r="J389" s="1055"/>
      <c r="K389" s="1049">
        <v>0</v>
      </c>
      <c r="L389" s="1166" t="s">
        <v>998</v>
      </c>
      <c r="M389" s="1055"/>
      <c r="N389" s="1166"/>
      <c r="O389" s="1171"/>
    </row>
    <row r="390" spans="2:15" ht="15.75" hidden="1">
      <c r="B390" s="1">
        <v>1</v>
      </c>
      <c r="C390" s="1">
        <v>1</v>
      </c>
      <c r="D390" s="1025"/>
      <c r="E390" s="1179"/>
      <c r="F390" s="1056" t="str">
        <f>IF(F389=$S$15,$T$10,IF(ROUNDDOWN(F389,0)=$S$10,$U$10,$T$10))</f>
        <v>　レベル　1</v>
      </c>
      <c r="G390" s="2896" t="s">
        <v>457</v>
      </c>
      <c r="H390" s="2916"/>
      <c r="I390" s="2916"/>
      <c r="J390" s="2902"/>
      <c r="K390" s="1056" t="str">
        <f>IF(K389=$S$15,$T$10,IF(ROUNDDOWN(K389,0)=$S$10,$U$10,$T$10))</f>
        <v>　レベル　1</v>
      </c>
      <c r="L390" s="2896" t="s">
        <v>457</v>
      </c>
      <c r="M390" s="2916"/>
      <c r="N390" s="2916"/>
      <c r="O390" s="2902"/>
    </row>
    <row r="391" spans="2:15" ht="15.75" hidden="1">
      <c r="B391" s="1" t="s">
        <v>242</v>
      </c>
      <c r="C391" s="1" t="s">
        <v>242</v>
      </c>
      <c r="D391" s="1025"/>
      <c r="E391" s="1179"/>
      <c r="F391" s="1061" t="str">
        <f>IF(F389=$S$15,$T$11,IF(ROUNDDOWN(F389,0)=$S$11,$U$11,$T$11))</f>
        <v>　レベル　2</v>
      </c>
      <c r="G391" s="2900" t="s">
        <v>2365</v>
      </c>
      <c r="H391" s="2906"/>
      <c r="I391" s="2906"/>
      <c r="J391" s="2901"/>
      <c r="K391" s="1061" t="str">
        <f>IF(K389=$S$15,$T$11,IF(ROUNDDOWN(K389,0)=$S$11,$U$11,$T$11))</f>
        <v>　レベル　2</v>
      </c>
      <c r="L391" s="2933" t="s">
        <v>2365</v>
      </c>
      <c r="M391" s="2934"/>
      <c r="N391" s="2934"/>
      <c r="O391" s="2935"/>
    </row>
    <row r="392" spans="2:15" ht="15.75" hidden="1">
      <c r="B392" s="1">
        <v>3</v>
      </c>
      <c r="C392" s="1">
        <v>3</v>
      </c>
      <c r="D392" s="1025"/>
      <c r="E392" s="1179"/>
      <c r="F392" s="1061" t="str">
        <f>IF(F389=$S$15,$T$12,IF(ROUNDDOWN(F389,0)=$S$12,$U$12,$T$12))</f>
        <v>　レベル　3</v>
      </c>
      <c r="G392" s="2900" t="s">
        <v>2156</v>
      </c>
      <c r="H392" s="2906"/>
      <c r="I392" s="2906"/>
      <c r="J392" s="2901"/>
      <c r="K392" s="1061" t="str">
        <f>IF(K389=$S$15,$T$12,IF(ROUNDDOWN(K389,0)=$S$12,$U$12,$T$12))</f>
        <v>　レベル　3</v>
      </c>
      <c r="L392" s="2933" t="s">
        <v>1128</v>
      </c>
      <c r="M392" s="2934"/>
      <c r="N392" s="2934"/>
      <c r="O392" s="2935"/>
    </row>
    <row r="393" spans="2:15" ht="15.75" hidden="1">
      <c r="B393" s="1">
        <v>4</v>
      </c>
      <c r="C393" s="1">
        <v>4</v>
      </c>
      <c r="D393" s="1025"/>
      <c r="E393" s="1179"/>
      <c r="F393" s="1061" t="str">
        <f>IF(F389=$S$15,$T$13,IF(ROUNDDOWN(F389,0)=$S$13,$U$13,$T$13))</f>
        <v>　レベル　4</v>
      </c>
      <c r="G393" s="2900" t="s">
        <v>1428</v>
      </c>
      <c r="H393" s="2906"/>
      <c r="I393" s="2906"/>
      <c r="J393" s="2901"/>
      <c r="K393" s="1061" t="str">
        <f>IF(K389=$S$15,$T$13,IF(ROUNDDOWN(K389,0)=$S$13,$U$13,$T$13))</f>
        <v>　レベル　4</v>
      </c>
      <c r="L393" s="2933" t="s">
        <v>1129</v>
      </c>
      <c r="M393" s="2934"/>
      <c r="N393" s="2934"/>
      <c r="O393" s="2935"/>
    </row>
    <row r="394" spans="2:15" ht="15.75" hidden="1">
      <c r="B394" s="1">
        <v>5</v>
      </c>
      <c r="C394" s="1">
        <v>5</v>
      </c>
      <c r="D394" s="1025"/>
      <c r="E394" s="1179"/>
      <c r="F394" s="1072" t="str">
        <f>IF(F389=$S$15,$T$14,IF(ROUNDDOWN(F389,0)=$S$14,$U$14,$T$14))</f>
        <v>　レベル　5</v>
      </c>
      <c r="G394" s="2898" t="s">
        <v>18</v>
      </c>
      <c r="H394" s="2905"/>
      <c r="I394" s="2905"/>
      <c r="J394" s="2899"/>
      <c r="K394" s="1072" t="str">
        <f>IF(K389=$S$15,$T$14,IF(ROUNDDOWN(K389,0)=$S$14,$U$14,$T$14))</f>
        <v>　レベル　5</v>
      </c>
      <c r="L394" s="2925" t="s">
        <v>18</v>
      </c>
      <c r="M394" s="2944"/>
      <c r="N394" s="2944"/>
      <c r="O394" s="2945"/>
    </row>
    <row r="395" spans="2:15" ht="15.75">
      <c r="B395" s="1079">
        <v>0</v>
      </c>
      <c r="C395" s="1079">
        <v>0</v>
      </c>
      <c r="D395" s="1025"/>
      <c r="E395" s="1026"/>
      <c r="F395" s="1026"/>
      <c r="G395" s="1115"/>
      <c r="H395" s="1115"/>
      <c r="I395" s="1115"/>
      <c r="J395" s="1115"/>
      <c r="K395" s="1115"/>
      <c r="L395" s="1115"/>
      <c r="M395" s="1115"/>
      <c r="N395" s="1115"/>
      <c r="O395" s="1115"/>
    </row>
    <row r="396" spans="2:15" ht="15.75">
      <c r="D396" s="1465">
        <v>4.2</v>
      </c>
      <c r="E396" s="1162" t="s">
        <v>1429</v>
      </c>
      <c r="F396" s="1033"/>
      <c r="G396" s="1163" t="str">
        <f>IF(AND(J407="対象外",J407&gt;0.001),"★入力エラー：レベル１～５を選択し直してください！","")</f>
        <v/>
      </c>
      <c r="H396" s="1164"/>
      <c r="I396" s="1164"/>
      <c r="J396" s="1164"/>
      <c r="K396" s="1164"/>
      <c r="L396" s="1163"/>
      <c r="M396" s="1164"/>
      <c r="N396" s="1164"/>
      <c r="O396" s="1164"/>
    </row>
    <row r="397" spans="2:15" ht="15.75">
      <c r="D397" s="1025"/>
      <c r="E397" s="1178"/>
      <c r="F397" s="1036" t="s">
        <v>1430</v>
      </c>
      <c r="G397" s="1116"/>
      <c r="H397" s="1165"/>
      <c r="I397" s="1145"/>
      <c r="J397" s="1119" t="str">
        <f>IF(OR(F399=0,AND(J398=0,O398=0)),$R$3,"")</f>
        <v/>
      </c>
      <c r="K397" s="1204"/>
      <c r="L397" s="1116"/>
      <c r="M397" s="1165"/>
      <c r="N397" s="1145"/>
      <c r="O397" s="1119"/>
    </row>
    <row r="398" spans="2:15" ht="16.5" thickBot="1">
      <c r="D398" s="1025"/>
      <c r="E398" s="1178"/>
      <c r="F398" s="1042" t="s">
        <v>1483</v>
      </c>
      <c r="G398" s="1043"/>
      <c r="H398" s="1044"/>
      <c r="I398" s="1045" t="s">
        <v>1484</v>
      </c>
      <c r="J398" s="1048">
        <f>重み!M54</f>
        <v>0.25</v>
      </c>
      <c r="K398" s="1042" t="s">
        <v>2123</v>
      </c>
      <c r="L398" s="1043"/>
      <c r="M398" s="1044"/>
      <c r="N398" s="1045" t="s">
        <v>1484</v>
      </c>
      <c r="O398" s="1048">
        <f>重み!N54</f>
        <v>0</v>
      </c>
    </row>
    <row r="399" spans="2:15" ht="16.5" thickBot="1">
      <c r="D399" s="1025"/>
      <c r="E399" s="1179"/>
      <c r="F399" s="1049">
        <v>3</v>
      </c>
      <c r="G399" s="1166" t="s">
        <v>1431</v>
      </c>
      <c r="H399" s="1054"/>
      <c r="I399" s="1192" t="s">
        <v>541</v>
      </c>
      <c r="J399" s="1055"/>
      <c r="K399" s="1049">
        <v>3</v>
      </c>
      <c r="L399" s="1166" t="s">
        <v>998</v>
      </c>
      <c r="M399" s="1055"/>
      <c r="N399" s="1166"/>
      <c r="O399" s="1171"/>
    </row>
    <row r="400" spans="2:15" ht="15.75" customHeight="1">
      <c r="B400" s="1">
        <v>1</v>
      </c>
      <c r="C400" s="1">
        <v>1</v>
      </c>
      <c r="D400" s="1025"/>
      <c r="E400" s="1030"/>
      <c r="F400" s="1056" t="str">
        <f>IF(F399=$S$15,$T$10,IF(ROUNDDOWN(F399,0)=$S$10,$U$10,$T$10))</f>
        <v>　レベル　1</v>
      </c>
      <c r="G400" s="2900" t="s">
        <v>497</v>
      </c>
      <c r="H400" s="2947"/>
      <c r="I400" s="2900" t="s">
        <v>2365</v>
      </c>
      <c r="J400" s="2947"/>
      <c r="K400" s="1056" t="str">
        <f>IF(K399=$S$15,$T$10,IF(ROUNDDOWN(K399,0)=$S$10,$U$10,$T$10))</f>
        <v>　レベル　1</v>
      </c>
      <c r="L400" s="2900" t="s">
        <v>497</v>
      </c>
      <c r="M400" s="2906"/>
      <c r="N400" s="2906"/>
      <c r="O400" s="2901"/>
    </row>
    <row r="401" spans="2:15" ht="15.75" customHeight="1">
      <c r="B401" s="1" t="s">
        <v>3107</v>
      </c>
      <c r="C401" s="1" t="s">
        <v>3107</v>
      </c>
      <c r="D401" s="1025"/>
      <c r="E401" s="1030"/>
      <c r="F401" s="1061" t="str">
        <f>IF(F399=$S$15,$T$11,IF(ROUNDDOWN(F399,0)=$S$11,$U$11,$T$11))</f>
        <v>　レベル　2</v>
      </c>
      <c r="G401" s="2900" t="s">
        <v>2365</v>
      </c>
      <c r="H401" s="2917"/>
      <c r="I401" s="2900" t="s">
        <v>2365</v>
      </c>
      <c r="J401" s="2943"/>
      <c r="K401" s="1061" t="str">
        <f>IF(K399=$S$15,$T$11,IF(ROUNDDOWN(K399,0)=$S$11,$U$11,$T$11))</f>
        <v>　レベル　2</v>
      </c>
      <c r="L401" s="2900" t="s">
        <v>2365</v>
      </c>
      <c r="M401" s="2964"/>
      <c r="N401" s="2964"/>
      <c r="O401" s="2947"/>
    </row>
    <row r="402" spans="2:15" ht="77.25" customHeight="1">
      <c r="B402" s="1">
        <v>3</v>
      </c>
      <c r="C402" s="1">
        <v>3</v>
      </c>
      <c r="D402" s="1025"/>
      <c r="E402" s="1030"/>
      <c r="F402" s="1061" t="str">
        <f>IF(F399=$S$15,$T$12,IF(ROUNDDOWN(F399,0)=$S$12,$U$12,$T$12))</f>
        <v>■レベル　3</v>
      </c>
      <c r="G402" s="2900" t="s">
        <v>1130</v>
      </c>
      <c r="H402" s="2947"/>
      <c r="I402" s="2900" t="s">
        <v>925</v>
      </c>
      <c r="J402" s="2963"/>
      <c r="K402" s="1061" t="str">
        <f>IF(K399=$S$15,$T$12,IF(ROUNDDOWN(K399,0)=$S$12,$U$12,$T$12))</f>
        <v>■レベル　3</v>
      </c>
      <c r="L402" s="2900" t="s">
        <v>1130</v>
      </c>
      <c r="M402" s="2906"/>
      <c r="N402" s="2906"/>
      <c r="O402" s="2901"/>
    </row>
    <row r="403" spans="2:15" ht="77.25" customHeight="1">
      <c r="B403" s="1">
        <v>4</v>
      </c>
      <c r="C403" s="1">
        <v>4</v>
      </c>
      <c r="D403" s="1025"/>
      <c r="E403" s="1030"/>
      <c r="F403" s="1061" t="str">
        <f>IF(F399=$S$15,$T$13,IF(ROUNDDOWN(F399,0)=$S$13,$U$13,$T$13))</f>
        <v>　レベル　4</v>
      </c>
      <c r="G403" s="2900" t="s">
        <v>1432</v>
      </c>
      <c r="H403" s="2947"/>
      <c r="I403" s="2900" t="s">
        <v>926</v>
      </c>
      <c r="J403" s="2963"/>
      <c r="K403" s="1061" t="str">
        <f>IF(K399=$S$15,$T$13,IF(ROUNDDOWN(K399,0)=$S$13,$U$13,$T$13))</f>
        <v>　レベル　4</v>
      </c>
      <c r="L403" s="2900" t="s">
        <v>1432</v>
      </c>
      <c r="M403" s="2906"/>
      <c r="N403" s="2906"/>
      <c r="O403" s="2901"/>
    </row>
    <row r="404" spans="2:15" ht="77.25" customHeight="1">
      <c r="B404" s="1">
        <v>5</v>
      </c>
      <c r="C404" s="1">
        <v>5</v>
      </c>
      <c r="D404" s="1025"/>
      <c r="E404" s="1030"/>
      <c r="F404" s="1072" t="str">
        <f>IF(F399=$S$15,$T$14,IF(ROUNDDOWN(F399,0)=$S$14,$U$14,$T$14))</f>
        <v>　レベル　5</v>
      </c>
      <c r="G404" s="2898" t="s">
        <v>1433</v>
      </c>
      <c r="H404" s="2899"/>
      <c r="I404" s="2898" t="s">
        <v>927</v>
      </c>
      <c r="J404" s="2965"/>
      <c r="K404" s="1072" t="str">
        <f>IF(K399=$S$15,$T$14,IF(ROUNDDOWN(K399,0)=$S$14,$U$14,$T$14))</f>
        <v>　レベル　5</v>
      </c>
      <c r="L404" s="2898" t="s">
        <v>1433</v>
      </c>
      <c r="M404" s="2905"/>
      <c r="N404" s="2905"/>
      <c r="O404" s="2899"/>
    </row>
    <row r="405" spans="2:15" ht="15.75">
      <c r="B405" s="1079">
        <v>0</v>
      </c>
      <c r="C405" s="1079">
        <v>0</v>
      </c>
      <c r="D405" s="1025"/>
      <c r="E405" s="1030"/>
      <c r="F405" s="1026"/>
      <c r="G405" s="1115"/>
      <c r="H405" s="1115"/>
      <c r="I405" s="1115"/>
      <c r="J405" s="1115"/>
      <c r="K405" s="1115"/>
      <c r="L405" s="1115"/>
      <c r="M405" s="1115"/>
      <c r="N405" s="1115"/>
      <c r="O405" s="1115"/>
    </row>
    <row r="406" spans="2:15" ht="15.75">
      <c r="D406" s="1025"/>
      <c r="E406" s="1030"/>
      <c r="F406" s="1036" t="s">
        <v>1434</v>
      </c>
      <c r="G406" s="1116"/>
      <c r="H406" s="1165"/>
      <c r="I406" s="1145"/>
      <c r="J406" s="1119" t="str">
        <f>IF(OR(F408=0,AND(J407=0,O407=0)),$R$3,"")</f>
        <v/>
      </c>
      <c r="K406" s="1204"/>
      <c r="L406" s="1116"/>
      <c r="M406" s="1165"/>
      <c r="N406" s="1145"/>
      <c r="O406" s="1119"/>
    </row>
    <row r="407" spans="2:15" ht="16.5" thickBot="1">
      <c r="D407" s="1025"/>
      <c r="E407" s="1030"/>
      <c r="F407" s="1042" t="s">
        <v>2707</v>
      </c>
      <c r="G407" s="1043"/>
      <c r="H407" s="1044"/>
      <c r="I407" s="1045" t="s">
        <v>1484</v>
      </c>
      <c r="J407" s="1048">
        <f>重み!M55</f>
        <v>0.25</v>
      </c>
      <c r="K407" s="1042" t="s">
        <v>2123</v>
      </c>
      <c r="L407" s="1043"/>
      <c r="M407" s="1044"/>
      <c r="N407" s="1045" t="s">
        <v>1484</v>
      </c>
      <c r="O407" s="1048">
        <f>重み!N55</f>
        <v>0</v>
      </c>
    </row>
    <row r="408" spans="2:15" ht="16.5" thickBot="1">
      <c r="D408" s="1025"/>
      <c r="E408" s="1030"/>
      <c r="F408" s="1049">
        <v>3</v>
      </c>
      <c r="G408" s="1166" t="s">
        <v>25</v>
      </c>
      <c r="H408" s="1054"/>
      <c r="I408" s="1192" t="s">
        <v>24</v>
      </c>
      <c r="J408" s="1055"/>
      <c r="K408" s="1049">
        <v>3</v>
      </c>
      <c r="L408" s="1166" t="s">
        <v>2442</v>
      </c>
      <c r="M408" s="1055"/>
      <c r="N408" s="1166" t="s">
        <v>2054</v>
      </c>
      <c r="O408" s="1055"/>
    </row>
    <row r="409" spans="2:15" ht="15.75" customHeight="1">
      <c r="B409" s="1">
        <v>1</v>
      </c>
      <c r="C409" s="1">
        <v>1</v>
      </c>
      <c r="D409" s="1025"/>
      <c r="E409" s="1030"/>
      <c r="F409" s="1056" t="str">
        <f>IF(F408=$S$15,$T$10,IF(ROUNDDOWN(F408,0)=$S$10,$U$10,$T$10))</f>
        <v>　レベル　1</v>
      </c>
      <c r="G409" s="2896" t="s">
        <v>457</v>
      </c>
      <c r="H409" s="2902"/>
      <c r="I409" s="2896" t="s">
        <v>457</v>
      </c>
      <c r="J409" s="2902"/>
      <c r="K409" s="1056" t="str">
        <f>IF(K408=$S$15,$T$10,IF(ROUNDDOWN(K408,0)=$S$10,$U$10,$T$10))</f>
        <v>　レベル　1</v>
      </c>
      <c r="L409" s="2896" t="s">
        <v>1770</v>
      </c>
      <c r="M409" s="2914"/>
      <c r="N409" s="2896" t="s">
        <v>1770</v>
      </c>
      <c r="O409" s="2914"/>
    </row>
    <row r="410" spans="2:15" ht="15.75" customHeight="1">
      <c r="B410" s="1" t="s">
        <v>3105</v>
      </c>
      <c r="C410" s="1" t="s">
        <v>3105</v>
      </c>
      <c r="D410" s="1025"/>
      <c r="E410" s="1030"/>
      <c r="F410" s="1061" t="str">
        <f>IF(F408=$S$15,$T$11,IF(ROUNDDOWN(F408,0)=$S$11,$U$11,$T$11))</f>
        <v>　レベル　2</v>
      </c>
      <c r="G410" s="2900" t="s">
        <v>2365</v>
      </c>
      <c r="H410" s="2943"/>
      <c r="I410" s="2900" t="s">
        <v>2365</v>
      </c>
      <c r="J410" s="2943"/>
      <c r="K410" s="1061" t="str">
        <f>IF(K408=$S$15,$T$11,IF(ROUNDDOWN(K408,0)=$S$11,$U$11,$T$11))</f>
        <v>　レベル　2</v>
      </c>
      <c r="L410" s="2900" t="s">
        <v>2365</v>
      </c>
      <c r="M410" s="2901"/>
      <c r="N410" s="2900" t="s">
        <v>2365</v>
      </c>
      <c r="O410" s="2901"/>
    </row>
    <row r="411" spans="2:15" ht="86.25" customHeight="1">
      <c r="B411" s="1">
        <v>3</v>
      </c>
      <c r="C411" s="1">
        <v>3</v>
      </c>
      <c r="D411" s="1025"/>
      <c r="E411" s="1030"/>
      <c r="F411" s="1061" t="str">
        <f>IF(F408=$S$15,$T$12,IF(ROUNDDOWN(F408,0)=$S$12,$U$12,$T$12))</f>
        <v>■レベル　3</v>
      </c>
      <c r="G411" s="2900" t="s">
        <v>406</v>
      </c>
      <c r="H411" s="2943"/>
      <c r="I411" s="2900" t="s">
        <v>21</v>
      </c>
      <c r="J411" s="2943"/>
      <c r="K411" s="1061" t="str">
        <f>IF(K408=$S$15,$T$12,IF(ROUNDDOWN(K408,0)=$S$12,$U$12,$T$12))</f>
        <v>■レベル　3</v>
      </c>
      <c r="L411" s="2900" t="s">
        <v>407</v>
      </c>
      <c r="M411" s="2901"/>
      <c r="N411" s="2900" t="s">
        <v>2330</v>
      </c>
      <c r="O411" s="2901"/>
    </row>
    <row r="412" spans="2:15" ht="99" customHeight="1">
      <c r="B412" s="1">
        <v>4</v>
      </c>
      <c r="C412" s="1">
        <v>4</v>
      </c>
      <c r="D412" s="1025"/>
      <c r="E412" s="1030"/>
      <c r="F412" s="1061" t="str">
        <f>IF(F408=$S$15,$T$13,IF(ROUNDDOWN(F408,0)=$S$13,$U$13,$T$13))</f>
        <v>　レベル　4</v>
      </c>
      <c r="G412" s="2900" t="s">
        <v>19</v>
      </c>
      <c r="H412" s="2943"/>
      <c r="I412" s="2900" t="s">
        <v>22</v>
      </c>
      <c r="J412" s="2943"/>
      <c r="K412" s="1061" t="str">
        <f>IF(K408=$S$15,$T$13,IF(ROUNDDOWN(K408,0)=$S$13,$U$13,$T$13))</f>
        <v>　レベル　4</v>
      </c>
      <c r="L412" s="2900" t="s">
        <v>825</v>
      </c>
      <c r="M412" s="2901"/>
      <c r="N412" s="2900" t="s">
        <v>1821</v>
      </c>
      <c r="O412" s="2901"/>
    </row>
    <row r="413" spans="2:15" ht="114.75" customHeight="1">
      <c r="B413" s="1">
        <v>5</v>
      </c>
      <c r="C413" s="1">
        <v>5</v>
      </c>
      <c r="D413" s="1025"/>
      <c r="E413" s="1030"/>
      <c r="F413" s="1072" t="str">
        <f>IF(F408=$S$15,$T$14,IF(ROUNDDOWN(F408,0)=$S$14,$U$14,$T$14))</f>
        <v>　レベル　5</v>
      </c>
      <c r="G413" s="2898" t="s">
        <v>20</v>
      </c>
      <c r="H413" s="2928"/>
      <c r="I413" s="2898" t="s">
        <v>23</v>
      </c>
      <c r="J413" s="2928"/>
      <c r="K413" s="1072" t="str">
        <f>IF(K408=$S$15,$T$14,IF(ROUNDDOWN(K408,0)=$S$14,$U$14,$T$14))</f>
        <v>　レベル　5</v>
      </c>
      <c r="L413" s="2898" t="s">
        <v>408</v>
      </c>
      <c r="M413" s="2899"/>
      <c r="N413" s="2898" t="s">
        <v>826</v>
      </c>
      <c r="O413" s="2899"/>
    </row>
    <row r="414" spans="2:15" ht="15.75">
      <c r="B414" s="1079">
        <v>0</v>
      </c>
      <c r="C414" s="1079">
        <v>0</v>
      </c>
      <c r="D414" s="1025"/>
      <c r="E414" s="1030"/>
      <c r="F414" s="1026"/>
      <c r="G414" s="1115"/>
      <c r="H414" s="1115"/>
      <c r="I414" s="1115"/>
      <c r="J414" s="1115"/>
      <c r="K414" s="1115"/>
      <c r="L414" s="1115"/>
      <c r="M414" s="1115"/>
      <c r="N414" s="1115"/>
      <c r="O414" s="1115"/>
    </row>
    <row r="415" spans="2:15" ht="15.75">
      <c r="D415" s="1025"/>
      <c r="E415" s="1178"/>
      <c r="F415" s="1036" t="s">
        <v>1935</v>
      </c>
      <c r="G415" s="1116"/>
      <c r="H415" s="1165"/>
      <c r="I415" s="1145"/>
      <c r="J415" s="1119" t="str">
        <f>IF(OR(F417=0,AND(J416=0,O416=0)),$R$3,"")</f>
        <v/>
      </c>
      <c r="K415" s="1204"/>
      <c r="L415" s="1116"/>
      <c r="M415" s="1165"/>
      <c r="N415" s="1145"/>
      <c r="O415" s="1119"/>
    </row>
    <row r="416" spans="2:15" ht="16.5" thickBot="1">
      <c r="D416" s="1025"/>
      <c r="E416" s="1178"/>
      <c r="F416" s="1042" t="s">
        <v>1438</v>
      </c>
      <c r="G416" s="1043"/>
      <c r="H416" s="1044"/>
      <c r="I416" s="1045" t="s">
        <v>1484</v>
      </c>
      <c r="J416" s="1048">
        <f>重み!M56</f>
        <v>0.25</v>
      </c>
      <c r="K416" s="1042" t="s">
        <v>2123</v>
      </c>
      <c r="L416" s="1043"/>
      <c r="M416" s="1044"/>
      <c r="N416" s="1045" t="s">
        <v>1484</v>
      </c>
      <c r="O416" s="1048">
        <f>重み!N56</f>
        <v>0</v>
      </c>
    </row>
    <row r="417" spans="2:15" ht="16.5" thickBot="1">
      <c r="D417" s="1025"/>
      <c r="E417" s="1178"/>
      <c r="F417" s="1049">
        <v>3</v>
      </c>
      <c r="G417" s="1166" t="s">
        <v>3055</v>
      </c>
      <c r="H417" s="1054"/>
      <c r="I417" s="1166" t="s">
        <v>2054</v>
      </c>
      <c r="J417" s="1055"/>
      <c r="K417" s="1049">
        <v>3</v>
      </c>
      <c r="L417" s="1166" t="s">
        <v>2915</v>
      </c>
      <c r="M417" s="1055"/>
      <c r="N417" s="1166" t="s">
        <v>2054</v>
      </c>
      <c r="O417" s="1055"/>
    </row>
    <row r="418" spans="2:15" ht="15.75" customHeight="1">
      <c r="B418" s="1">
        <v>1</v>
      </c>
      <c r="C418" s="1">
        <v>1</v>
      </c>
      <c r="D418" s="1025"/>
      <c r="E418" s="1179"/>
      <c r="F418" s="1056" t="str">
        <f>IF(F417=$S$15,$T$10,IF(ROUNDDOWN(F417,0)=$S$10,$U$10,$T$10))</f>
        <v>　レベル　1</v>
      </c>
      <c r="G418" s="2896" t="s">
        <v>457</v>
      </c>
      <c r="H418" s="2902"/>
      <c r="I418" s="2896" t="s">
        <v>1770</v>
      </c>
      <c r="J418" s="2914"/>
      <c r="K418" s="1056" t="str">
        <f>IF(K417=$S$15,$T$10,IF(ROUNDDOWN(K417,0)=$S$10,$U$10,$T$10))</f>
        <v>　レベル　1</v>
      </c>
      <c r="L418" s="2896" t="s">
        <v>1770</v>
      </c>
      <c r="M418" s="2914"/>
      <c r="N418" s="2896" t="s">
        <v>1770</v>
      </c>
      <c r="O418" s="2914"/>
    </row>
    <row r="419" spans="2:15" ht="15.75">
      <c r="B419" s="1" t="s">
        <v>3105</v>
      </c>
      <c r="C419" s="1" t="s">
        <v>3105</v>
      </c>
      <c r="D419" s="1025"/>
      <c r="E419" s="1179"/>
      <c r="F419" s="1061" t="str">
        <f>IF(F417=$S$15,$T$11,IF(ROUNDDOWN(F417,0)=$S$11,$U$11,$T$11))</f>
        <v>　レベル　2</v>
      </c>
      <c r="G419" s="2900" t="s">
        <v>2365</v>
      </c>
      <c r="H419" s="2901"/>
      <c r="I419" s="2900" t="s">
        <v>2365</v>
      </c>
      <c r="J419" s="2901"/>
      <c r="K419" s="1061" t="str">
        <f>IF(K417=$S$15,$T$11,IF(ROUNDDOWN(K417,0)=$S$11,$U$11,$T$11))</f>
        <v>　レベル　2</v>
      </c>
      <c r="L419" s="2900" t="s">
        <v>2365</v>
      </c>
      <c r="M419" s="2901"/>
      <c r="N419" s="2900" t="s">
        <v>2365</v>
      </c>
      <c r="O419" s="2901"/>
    </row>
    <row r="420" spans="2:15" ht="61.5" customHeight="1">
      <c r="B420" s="1">
        <v>3</v>
      </c>
      <c r="C420" s="1">
        <v>3</v>
      </c>
      <c r="D420" s="1025"/>
      <c r="E420" s="1179"/>
      <c r="F420" s="1061" t="str">
        <f>IF(F417=$S$15,$T$12,IF(ROUNDDOWN(F417,0)=$S$12,$U$12,$T$12))</f>
        <v>■レベル　3</v>
      </c>
      <c r="G420" s="2900" t="s">
        <v>3056</v>
      </c>
      <c r="H420" s="2901"/>
      <c r="I420" s="2900" t="s">
        <v>2378</v>
      </c>
      <c r="J420" s="2901"/>
      <c r="K420" s="1061" t="str">
        <f>IF(K417=$S$15,$T$12,IF(ROUNDDOWN(K417,0)=$S$12,$U$12,$T$12))</f>
        <v>■レベル　3</v>
      </c>
      <c r="L420" s="2900" t="s">
        <v>2379</v>
      </c>
      <c r="M420" s="2901"/>
      <c r="N420" s="2900" t="s">
        <v>2378</v>
      </c>
      <c r="O420" s="2901"/>
    </row>
    <row r="421" spans="2:15" ht="61.5" customHeight="1">
      <c r="B421" s="1">
        <v>4</v>
      </c>
      <c r="C421" s="1">
        <v>4</v>
      </c>
      <c r="D421" s="1025"/>
      <c r="E421" s="1179"/>
      <c r="F421" s="1061" t="str">
        <f>IF(F417=$S$15,$T$13,IF(ROUNDDOWN(F417,0)=$S$13,$U$13,$T$13))</f>
        <v>　レベル　4</v>
      </c>
      <c r="G421" s="2900" t="s">
        <v>533</v>
      </c>
      <c r="H421" s="2901"/>
      <c r="I421" s="2900" t="s">
        <v>2365</v>
      </c>
      <c r="J421" s="2901"/>
      <c r="K421" s="1061" t="str">
        <f>IF(K417=$S$15,$T$13,IF(ROUNDDOWN(K417,0)=$S$13,$U$13,$T$13))</f>
        <v>　レベル　4</v>
      </c>
      <c r="L421" s="2900" t="s">
        <v>533</v>
      </c>
      <c r="M421" s="2901"/>
      <c r="N421" s="2900" t="s">
        <v>2365</v>
      </c>
      <c r="O421" s="2901"/>
    </row>
    <row r="422" spans="2:15" ht="70.5" customHeight="1">
      <c r="B422" s="1">
        <v>5</v>
      </c>
      <c r="C422" s="1">
        <v>5</v>
      </c>
      <c r="D422" s="1025"/>
      <c r="E422" s="1179"/>
      <c r="F422" s="1072" t="str">
        <f>IF(F417=$S$15,$T$14,IF(ROUNDDOWN(F417,0)=$S$14,$U$14,$T$14))</f>
        <v>　レベル　5</v>
      </c>
      <c r="G422" s="2898" t="s">
        <v>2418</v>
      </c>
      <c r="H422" s="2899"/>
      <c r="I422" s="2898" t="s">
        <v>2379</v>
      </c>
      <c r="J422" s="2899"/>
      <c r="K422" s="1072" t="str">
        <f>IF(K417=$S$15,$T$14,IF(ROUNDDOWN(K417,0)=$S$14,$U$14,$T$14))</f>
        <v>　レベル　5</v>
      </c>
      <c r="L422" s="2898" t="s">
        <v>2380</v>
      </c>
      <c r="M422" s="2899"/>
      <c r="N422" s="2898" t="s">
        <v>2379</v>
      </c>
      <c r="O422" s="2899"/>
    </row>
    <row r="423" spans="2:15" ht="15.75" hidden="1">
      <c r="B423" s="1079">
        <v>0</v>
      </c>
      <c r="C423" s="1079">
        <v>0</v>
      </c>
      <c r="D423" s="1025"/>
      <c r="E423" s="1179"/>
      <c r="F423" s="1179"/>
      <c r="G423" s="1230"/>
      <c r="H423" s="1230"/>
      <c r="I423" s="1230"/>
      <c r="J423" s="1230"/>
      <c r="K423" s="1230"/>
      <c r="L423" s="1230"/>
      <c r="M423" s="1230"/>
      <c r="N423" s="1230"/>
      <c r="O423" s="1230"/>
    </row>
    <row r="424" spans="2:15" ht="15.75" hidden="1">
      <c r="D424" s="1025"/>
      <c r="E424" s="1179"/>
      <c r="F424" s="2509" t="s">
        <v>2419</v>
      </c>
      <c r="G424" s="1116"/>
      <c r="H424" s="1165"/>
      <c r="I424" s="1145"/>
      <c r="J424" s="1119" t="str">
        <f>IF(OR(F426=0,AND(J425=0,O425=0)),$R$3,"")</f>
        <v>&lt;評価しない&gt;</v>
      </c>
      <c r="K424" s="1204"/>
      <c r="L424" s="1116"/>
      <c r="M424" s="1165"/>
      <c r="N424" s="1145"/>
      <c r="O424" s="1119"/>
    </row>
    <row r="425" spans="2:15" ht="15.75" hidden="1">
      <c r="D425" s="1025"/>
      <c r="E425" s="1179"/>
      <c r="F425" s="1042" t="s">
        <v>3090</v>
      </c>
      <c r="G425" s="1043"/>
      <c r="H425" s="1044"/>
      <c r="I425" s="1045" t="s">
        <v>1484</v>
      </c>
      <c r="J425" s="1048">
        <f>重み!M57</f>
        <v>0.25</v>
      </c>
      <c r="K425" s="1042" t="s">
        <v>2123</v>
      </c>
      <c r="L425" s="1043"/>
      <c r="M425" s="1044"/>
      <c r="N425" s="1045" t="s">
        <v>1484</v>
      </c>
      <c r="O425" s="1048">
        <f>重み!N57</f>
        <v>0</v>
      </c>
    </row>
    <row r="426" spans="2:15" ht="16.5" hidden="1" thickBot="1">
      <c r="D426" s="1025"/>
      <c r="E426" s="1179"/>
      <c r="F426" s="1049">
        <v>0</v>
      </c>
      <c r="G426" s="1166" t="s">
        <v>2745</v>
      </c>
      <c r="H426" s="1054"/>
      <c r="I426" s="1192"/>
      <c r="J426" s="1055"/>
      <c r="K426" s="1049">
        <v>0</v>
      </c>
      <c r="L426" s="1166" t="s">
        <v>998</v>
      </c>
      <c r="M426" s="1055"/>
      <c r="N426" s="1166"/>
      <c r="O426" s="1171"/>
    </row>
    <row r="427" spans="2:15" ht="15.75" hidden="1" customHeight="1">
      <c r="B427" s="1">
        <v>1</v>
      </c>
      <c r="C427" s="1">
        <v>1</v>
      </c>
      <c r="D427" s="1025"/>
      <c r="E427" s="1179"/>
      <c r="F427" s="1056" t="str">
        <f>IF(F426=$S$15,$T$10,IF(ROUNDDOWN(F426,0)=$S$10,$U$10,$T$10))</f>
        <v>　レベル　1</v>
      </c>
      <c r="G427" s="2896" t="s">
        <v>457</v>
      </c>
      <c r="H427" s="2916"/>
      <c r="I427" s="2916"/>
      <c r="J427" s="2902"/>
      <c r="K427" s="1056" t="str">
        <f>IF(K426=$S$15,$T$10,IF(ROUNDDOWN(K426,0)=$S$10,$U$10,$T$10))</f>
        <v>　レベル　1</v>
      </c>
      <c r="L427" s="2896" t="s">
        <v>457</v>
      </c>
      <c r="M427" s="2916"/>
      <c r="N427" s="2916"/>
      <c r="O427" s="2902"/>
    </row>
    <row r="428" spans="2:15" ht="15.75" hidden="1">
      <c r="B428" s="1" t="s">
        <v>242</v>
      </c>
      <c r="C428" s="1" t="s">
        <v>242</v>
      </c>
      <c r="D428" s="1025"/>
      <c r="E428" s="1179"/>
      <c r="F428" s="1061" t="str">
        <f>IF(F426=$S$15,$T$11,IF(ROUNDDOWN(F426,0)=$S$11,$U$11,$T$11))</f>
        <v>　レベル　2</v>
      </c>
      <c r="G428" s="2900" t="s">
        <v>2365</v>
      </c>
      <c r="H428" s="2906"/>
      <c r="I428" s="2906"/>
      <c r="J428" s="2901"/>
      <c r="K428" s="1061" t="str">
        <f>IF(K426=$S$15,$T$11,IF(ROUNDDOWN(K426,0)=$S$11,$U$11,$T$11))</f>
        <v>　レベル　2</v>
      </c>
      <c r="L428" s="2933" t="s">
        <v>2365</v>
      </c>
      <c r="M428" s="2934"/>
      <c r="N428" s="2934"/>
      <c r="O428" s="2935"/>
    </row>
    <row r="429" spans="2:15" ht="52.5" hidden="1" customHeight="1">
      <c r="B429" s="1">
        <v>3</v>
      </c>
      <c r="C429" s="1">
        <v>3</v>
      </c>
      <c r="D429" s="1025"/>
      <c r="E429" s="1179"/>
      <c r="F429" s="1061" t="str">
        <f>IF(F426=$S$15,$T$12,IF(ROUNDDOWN(F426,0)=$S$12,$U$12,$T$12))</f>
        <v>　レベル　3</v>
      </c>
      <c r="G429" s="2900" t="s">
        <v>2746</v>
      </c>
      <c r="H429" s="2906"/>
      <c r="I429" s="2906"/>
      <c r="J429" s="2901"/>
      <c r="K429" s="1061" t="str">
        <f>IF(K426=$S$15,$T$12,IF(ROUNDDOWN(K426,0)=$S$12,$U$12,$T$12))</f>
        <v>　レベル　3</v>
      </c>
      <c r="L429" s="2933" t="s">
        <v>2381</v>
      </c>
      <c r="M429" s="2934"/>
      <c r="N429" s="2934"/>
      <c r="O429" s="2935"/>
    </row>
    <row r="430" spans="2:15" ht="15.75" hidden="1">
      <c r="B430" s="1" t="s">
        <v>242</v>
      </c>
      <c r="C430" s="1" t="s">
        <v>242</v>
      </c>
      <c r="D430" s="1025"/>
      <c r="E430" s="1179"/>
      <c r="F430" s="1061" t="str">
        <f>IF(F426=$S$15,$T$13,IF(ROUNDDOWN(F426,0)=$S$13,$U$13,$T$13))</f>
        <v>　レベル　4</v>
      </c>
      <c r="G430" s="2900" t="s">
        <v>2365</v>
      </c>
      <c r="H430" s="2906"/>
      <c r="I430" s="2906"/>
      <c r="J430" s="2901"/>
      <c r="K430" s="1061" t="str">
        <f>IF(K426=$S$15,$T$13,IF(ROUNDDOWN(K426,0)=$S$13,$U$13,$T$13))</f>
        <v>　レベル　4</v>
      </c>
      <c r="L430" s="2933" t="s">
        <v>2365</v>
      </c>
      <c r="M430" s="2934"/>
      <c r="N430" s="2934"/>
      <c r="O430" s="2935"/>
    </row>
    <row r="431" spans="2:15" ht="6" hidden="1" customHeight="1">
      <c r="B431" s="1">
        <v>5</v>
      </c>
      <c r="C431" s="1">
        <v>5</v>
      </c>
      <c r="D431" s="1025"/>
      <c r="E431" s="1179"/>
      <c r="F431" s="1072" t="str">
        <f>IF(F426=$S$15,$T$14,IF(ROUNDDOWN(F426,0)=$S$14,$U$14,$T$14))</f>
        <v>　レベル　5</v>
      </c>
      <c r="G431" s="2898" t="s">
        <v>2747</v>
      </c>
      <c r="H431" s="2905"/>
      <c r="I431" s="2905"/>
      <c r="J431" s="2899"/>
      <c r="K431" s="1072" t="str">
        <f>IF(K426=$S$15,$T$14,IF(ROUNDDOWN(K426,0)=$S$14,$U$14,$T$14))</f>
        <v>　レベル　5</v>
      </c>
      <c r="L431" s="2925" t="s">
        <v>1793</v>
      </c>
      <c r="M431" s="2944"/>
      <c r="N431" s="2944"/>
      <c r="O431" s="2945"/>
    </row>
    <row r="432" spans="2:15" ht="15.75">
      <c r="B432" s="1079">
        <v>0</v>
      </c>
      <c r="C432" s="1079">
        <v>0</v>
      </c>
      <c r="D432" s="1025"/>
      <c r="E432" s="1030"/>
      <c r="F432" s="1030"/>
      <c r="G432" s="1170"/>
      <c r="H432" s="1170"/>
      <c r="I432" s="1170"/>
      <c r="J432" s="1170"/>
      <c r="K432" s="1170"/>
      <c r="L432" s="1170"/>
      <c r="M432" s="1170"/>
      <c r="N432" s="1170"/>
      <c r="O432" s="1170"/>
    </row>
    <row r="433" spans="2:15" ht="15.75">
      <c r="D433" s="1465">
        <v>4.3</v>
      </c>
      <c r="E433" s="1162" t="s">
        <v>2584</v>
      </c>
      <c r="F433" s="1033"/>
      <c r="G433" s="1163"/>
      <c r="H433" s="1164"/>
      <c r="I433" s="1164"/>
      <c r="J433" s="1164"/>
      <c r="K433" s="1164"/>
      <c r="L433" s="1164"/>
      <c r="M433" s="1164"/>
      <c r="N433" s="1164"/>
      <c r="O433" s="1164"/>
    </row>
    <row r="434" spans="2:15" ht="15.75">
      <c r="D434" s="1025"/>
      <c r="E434" s="1030"/>
      <c r="F434" s="1036" t="s">
        <v>1794</v>
      </c>
      <c r="G434" s="1116"/>
      <c r="H434" s="1165"/>
      <c r="I434" s="1145"/>
      <c r="J434" s="1119" t="str">
        <f>IF(OR(F436=0,J435=0),$R$3,"")</f>
        <v/>
      </c>
      <c r="K434" s="1204" t="s">
        <v>1981</v>
      </c>
      <c r="L434" s="1116"/>
      <c r="M434" s="1165"/>
      <c r="N434" s="1145"/>
      <c r="O434" s="1119" t="str">
        <f>IF(OR(K436=0,O435=0),$R$3,"")</f>
        <v/>
      </c>
    </row>
    <row r="435" spans="2:15" ht="16.5" thickBot="1">
      <c r="D435" s="1025"/>
      <c r="E435" s="1030"/>
      <c r="F435" s="1042" t="s">
        <v>1795</v>
      </c>
      <c r="G435" s="1043"/>
      <c r="H435" s="1044"/>
      <c r="I435" s="1045" t="s">
        <v>1484</v>
      </c>
      <c r="J435" s="1048">
        <f>重み!M59</f>
        <v>0.5</v>
      </c>
      <c r="K435" s="1042" t="s">
        <v>2174</v>
      </c>
      <c r="L435" s="1043"/>
      <c r="M435" s="1044"/>
      <c r="N435" s="1045" t="s">
        <v>1484</v>
      </c>
      <c r="O435" s="1048">
        <f>重み!M60</f>
        <v>0.5</v>
      </c>
    </row>
    <row r="436" spans="2:15" ht="16.5" thickBot="1">
      <c r="D436" s="1025"/>
      <c r="E436" s="1030"/>
      <c r="F436" s="1049">
        <v>3</v>
      </c>
      <c r="G436" s="1166" t="s">
        <v>1982</v>
      </c>
      <c r="H436" s="1054"/>
      <c r="I436" s="1192"/>
      <c r="J436" s="1055"/>
      <c r="K436" s="1049">
        <v>3</v>
      </c>
      <c r="L436" s="1166" t="s">
        <v>1983</v>
      </c>
      <c r="M436" s="1055"/>
      <c r="N436" s="1166"/>
      <c r="O436" s="1171"/>
    </row>
    <row r="437" spans="2:15" ht="15.75">
      <c r="B437" s="1">
        <v>1</v>
      </c>
      <c r="C437" s="1">
        <v>1</v>
      </c>
      <c r="D437" s="1025"/>
      <c r="E437" s="1030"/>
      <c r="F437" s="1056" t="str">
        <f>IF(F436=$S$15,$T$10,IF(ROUNDDOWN(F436,0)=$S$10,$U$10,$T$10))</f>
        <v>　レベル　1</v>
      </c>
      <c r="G437" s="2896" t="s">
        <v>457</v>
      </c>
      <c r="H437" s="2916"/>
      <c r="I437" s="2916"/>
      <c r="J437" s="2902"/>
      <c r="K437" s="1056" t="str">
        <f>IF(K436=$S$15,$T$10,IF(ROUNDDOWN(K436,0)=$S$10,$U$10,$T$10))</f>
        <v>　レベル　1</v>
      </c>
      <c r="L437" s="2896" t="s">
        <v>457</v>
      </c>
      <c r="M437" s="2916"/>
      <c r="N437" s="2916"/>
      <c r="O437" s="2902"/>
    </row>
    <row r="438" spans="2:15" ht="15.75">
      <c r="B438" s="1" t="s">
        <v>2364</v>
      </c>
      <c r="C438" s="1" t="s">
        <v>2364</v>
      </c>
      <c r="D438" s="1025"/>
      <c r="E438" s="1030"/>
      <c r="F438" s="1061" t="str">
        <f>IF(F436=$S$15,$T$11,IF(ROUNDDOWN(F436,0)=$S$11,$U$11,$T$11))</f>
        <v>　レベル　2</v>
      </c>
      <c r="G438" s="2900" t="s">
        <v>2365</v>
      </c>
      <c r="H438" s="2906"/>
      <c r="I438" s="2906"/>
      <c r="J438" s="2901"/>
      <c r="K438" s="1061" t="str">
        <f>IF(K436=$S$15,$T$11,IF(ROUNDDOWN(K436,0)=$S$11,$U$11,$T$11))</f>
        <v>　レベル　2</v>
      </c>
      <c r="L438" s="2900" t="s">
        <v>2365</v>
      </c>
      <c r="M438" s="2906"/>
      <c r="N438" s="2906"/>
      <c r="O438" s="2901"/>
    </row>
    <row r="439" spans="2:15" ht="45" customHeight="1">
      <c r="B439" s="1">
        <v>3</v>
      </c>
      <c r="C439" s="1">
        <v>3</v>
      </c>
      <c r="D439" s="1025"/>
      <c r="E439" s="1030"/>
      <c r="F439" s="1061" t="str">
        <f>IF(F436=$S$15,$T$12,IF(ROUNDDOWN(F436,0)=$S$12,$U$12,$T$12))</f>
        <v>■レベル　3</v>
      </c>
      <c r="G439" s="2900" t="s">
        <v>1984</v>
      </c>
      <c r="H439" s="2906"/>
      <c r="I439" s="2906"/>
      <c r="J439" s="2901"/>
      <c r="K439" s="1061" t="str">
        <f>IF(K436=$S$15,$T$12,IF(ROUNDDOWN(K436,0)=$S$12,$U$12,$T$12))</f>
        <v>■レベル　3</v>
      </c>
      <c r="L439" s="2900" t="s">
        <v>1985</v>
      </c>
      <c r="M439" s="2906"/>
      <c r="N439" s="2906"/>
      <c r="O439" s="2901"/>
    </row>
    <row r="440" spans="2:15" ht="45" customHeight="1">
      <c r="B440" s="1">
        <v>4</v>
      </c>
      <c r="C440" s="1" t="s">
        <v>2364</v>
      </c>
      <c r="D440" s="1025"/>
      <c r="E440" s="1030"/>
      <c r="F440" s="1061" t="str">
        <f>IF(F436=$S$15,$T$13,IF(ROUNDDOWN(F436,0)=$S$13,$U$13,$T$13))</f>
        <v>　レベル　4</v>
      </c>
      <c r="G440" s="2900" t="s">
        <v>1986</v>
      </c>
      <c r="H440" s="2906"/>
      <c r="I440" s="2906"/>
      <c r="J440" s="2901"/>
      <c r="K440" s="1061" t="str">
        <f>IF(K436=$S$15,$T$13,IF(ROUNDDOWN(K436,0)=$S$13,$U$13,$T$13))</f>
        <v>　レベル　4</v>
      </c>
      <c r="L440" s="2900" t="s">
        <v>2365</v>
      </c>
      <c r="M440" s="2906"/>
      <c r="N440" s="2906"/>
      <c r="O440" s="2901"/>
    </row>
    <row r="441" spans="2:15" ht="45" customHeight="1">
      <c r="B441" s="1">
        <v>5</v>
      </c>
      <c r="C441" s="1">
        <v>5</v>
      </c>
      <c r="D441" s="1025"/>
      <c r="E441" s="1030"/>
      <c r="F441" s="1072" t="str">
        <f>IF(F436=$S$15,$T$14,IF(ROUNDDOWN(F436,0)=$S$14,$U$14,$T$14))</f>
        <v>　レベル　5</v>
      </c>
      <c r="G441" s="2898" t="s">
        <v>1796</v>
      </c>
      <c r="H441" s="2905"/>
      <c r="I441" s="2905"/>
      <c r="J441" s="2899"/>
      <c r="K441" s="1072" t="str">
        <f>IF(K436=$S$15,$T$14,IF(ROUNDDOWN(K436,0)=$S$14,$U$14,$T$14))</f>
        <v>　レベル　5</v>
      </c>
      <c r="L441" s="2898" t="s">
        <v>1987</v>
      </c>
      <c r="M441" s="2905"/>
      <c r="N441" s="2905"/>
      <c r="O441" s="2899"/>
    </row>
    <row r="442" spans="2:15">
      <c r="B442" s="1079">
        <v>0</v>
      </c>
      <c r="C442" s="1079">
        <v>0</v>
      </c>
    </row>
    <row r="443" spans="2:15" hidden="1"/>
    <row r="444" spans="2:15" hidden="1"/>
    <row r="445" spans="2:15" hidden="1"/>
    <row r="446" spans="2:15"/>
    <row r="447" spans="2:15"/>
    <row r="448" spans="2:15"/>
    <row r="449"/>
    <row r="450"/>
    <row r="451"/>
    <row r="452"/>
    <row r="453"/>
    <row r="454"/>
    <row r="455"/>
    <row r="456"/>
    <row r="457"/>
    <row r="458"/>
    <row r="459"/>
    <row r="460"/>
    <row r="461"/>
    <row r="462"/>
    <row r="463"/>
    <row r="464"/>
    <row r="465"/>
    <row r="466"/>
    <row r="467"/>
  </sheetData>
  <sheetProtection password="9DA9" sheet="1" objects="1" scenarios="1"/>
  <mergeCells count="430">
    <mergeCell ref="G440:J440"/>
    <mergeCell ref="L440:O440"/>
    <mergeCell ref="G441:J441"/>
    <mergeCell ref="L441:O441"/>
    <mergeCell ref="G438:J438"/>
    <mergeCell ref="L438:O438"/>
    <mergeCell ref="G439:J439"/>
    <mergeCell ref="L439:O439"/>
    <mergeCell ref="G431:J431"/>
    <mergeCell ref="L431:O431"/>
    <mergeCell ref="G437:J437"/>
    <mergeCell ref="L437:O437"/>
    <mergeCell ref="G429:J429"/>
    <mergeCell ref="L429:O429"/>
    <mergeCell ref="G430:J430"/>
    <mergeCell ref="L430:O430"/>
    <mergeCell ref="G427:J427"/>
    <mergeCell ref="L427:O427"/>
    <mergeCell ref="G428:J428"/>
    <mergeCell ref="L428:O428"/>
    <mergeCell ref="G422:H422"/>
    <mergeCell ref="I422:J422"/>
    <mergeCell ref="L422:M422"/>
    <mergeCell ref="N422:O422"/>
    <mergeCell ref="G421:H421"/>
    <mergeCell ref="I421:J421"/>
    <mergeCell ref="L421:M421"/>
    <mergeCell ref="N421:O421"/>
    <mergeCell ref="G420:H420"/>
    <mergeCell ref="I420:J420"/>
    <mergeCell ref="L420:M420"/>
    <mergeCell ref="N420:O420"/>
    <mergeCell ref="G419:H419"/>
    <mergeCell ref="I419:J419"/>
    <mergeCell ref="L419:M419"/>
    <mergeCell ref="N419:O419"/>
    <mergeCell ref="G418:H418"/>
    <mergeCell ref="I418:J418"/>
    <mergeCell ref="L418:M418"/>
    <mergeCell ref="N418:O418"/>
    <mergeCell ref="L412:M412"/>
    <mergeCell ref="N412:O412"/>
    <mergeCell ref="L413:M413"/>
    <mergeCell ref="N413:O413"/>
    <mergeCell ref="G412:H412"/>
    <mergeCell ref="G413:H413"/>
    <mergeCell ref="I412:J412"/>
    <mergeCell ref="I413:J413"/>
    <mergeCell ref="L410:M410"/>
    <mergeCell ref="N410:O410"/>
    <mergeCell ref="L411:M411"/>
    <mergeCell ref="N411:O411"/>
    <mergeCell ref="G410:H410"/>
    <mergeCell ref="G411:H411"/>
    <mergeCell ref="I410:J410"/>
    <mergeCell ref="I411:J411"/>
    <mergeCell ref="G404:H404"/>
    <mergeCell ref="I404:J404"/>
    <mergeCell ref="L404:O404"/>
    <mergeCell ref="L409:M409"/>
    <mergeCell ref="N409:O409"/>
    <mergeCell ref="G409:H409"/>
    <mergeCell ref="I409:J409"/>
    <mergeCell ref="G402:H402"/>
    <mergeCell ref="I402:J402"/>
    <mergeCell ref="L402:O402"/>
    <mergeCell ref="G403:H403"/>
    <mergeCell ref="I403:J403"/>
    <mergeCell ref="L403:O403"/>
    <mergeCell ref="G400:H400"/>
    <mergeCell ref="I400:J400"/>
    <mergeCell ref="L400:O400"/>
    <mergeCell ref="G401:H401"/>
    <mergeCell ref="I401:J401"/>
    <mergeCell ref="L401:O401"/>
    <mergeCell ref="G394:J394"/>
    <mergeCell ref="L394:O394"/>
    <mergeCell ref="G391:J391"/>
    <mergeCell ref="L391:O391"/>
    <mergeCell ref="G392:J392"/>
    <mergeCell ref="L392:O392"/>
    <mergeCell ref="G393:J393"/>
    <mergeCell ref="L393:O393"/>
    <mergeCell ref="G385:H385"/>
    <mergeCell ref="I385:J385"/>
    <mergeCell ref="L385:O385"/>
    <mergeCell ref="G390:J390"/>
    <mergeCell ref="L390:O390"/>
    <mergeCell ref="I381:J381"/>
    <mergeCell ref="L381:O381"/>
    <mergeCell ref="G382:H382"/>
    <mergeCell ref="I382:J382"/>
    <mergeCell ref="L382:O382"/>
    <mergeCell ref="G384:H384"/>
    <mergeCell ref="I384:J384"/>
    <mergeCell ref="L384:O384"/>
    <mergeCell ref="G373:J373"/>
    <mergeCell ref="L373:O373"/>
    <mergeCell ref="G374:J374"/>
    <mergeCell ref="L374:O374"/>
    <mergeCell ref="G383:H383"/>
    <mergeCell ref="I383:J383"/>
    <mergeCell ref="L383:O383"/>
    <mergeCell ref="G376:J376"/>
    <mergeCell ref="L376:O376"/>
    <mergeCell ref="G381:H381"/>
    <mergeCell ref="G366:H366"/>
    <mergeCell ref="I366:J366"/>
    <mergeCell ref="G375:J375"/>
    <mergeCell ref="L375:O375"/>
    <mergeCell ref="G367:H367"/>
    <mergeCell ref="I367:J367"/>
    <mergeCell ref="L367:O367"/>
    <mergeCell ref="G372:J372"/>
    <mergeCell ref="L372:O372"/>
    <mergeCell ref="L366:O366"/>
    <mergeCell ref="G363:H363"/>
    <mergeCell ref="I363:J363"/>
    <mergeCell ref="L363:O363"/>
    <mergeCell ref="G364:H364"/>
    <mergeCell ref="I364:J364"/>
    <mergeCell ref="L364:O364"/>
    <mergeCell ref="G365:H365"/>
    <mergeCell ref="I365:J365"/>
    <mergeCell ref="L365:O365"/>
    <mergeCell ref="G355:H355"/>
    <mergeCell ref="I355:J355"/>
    <mergeCell ref="L355:M355"/>
    <mergeCell ref="N355:O355"/>
    <mergeCell ref="G356:H356"/>
    <mergeCell ref="I356:J356"/>
    <mergeCell ref="L356:M356"/>
    <mergeCell ref="N356:O356"/>
    <mergeCell ref="G353:H353"/>
    <mergeCell ref="I353:J353"/>
    <mergeCell ref="L353:M353"/>
    <mergeCell ref="N353:O353"/>
    <mergeCell ref="G354:H354"/>
    <mergeCell ref="I354:J354"/>
    <mergeCell ref="L354:M354"/>
    <mergeCell ref="N354:O354"/>
    <mergeCell ref="G352:H352"/>
    <mergeCell ref="I352:J352"/>
    <mergeCell ref="L352:M352"/>
    <mergeCell ref="N352:O352"/>
    <mergeCell ref="G350:H350"/>
    <mergeCell ref="I350:J350"/>
    <mergeCell ref="L350:M350"/>
    <mergeCell ref="N350:O350"/>
    <mergeCell ref="G349:H349"/>
    <mergeCell ref="I349:J349"/>
    <mergeCell ref="L349:M349"/>
    <mergeCell ref="N349:O349"/>
    <mergeCell ref="G348:H348"/>
    <mergeCell ref="I348:J348"/>
    <mergeCell ref="L348:M348"/>
    <mergeCell ref="N348:O348"/>
    <mergeCell ref="G347:H347"/>
    <mergeCell ref="I347:J347"/>
    <mergeCell ref="L347:M347"/>
    <mergeCell ref="N347:O347"/>
    <mergeCell ref="G340:J340"/>
    <mergeCell ref="L340:O340"/>
    <mergeCell ref="G346:H346"/>
    <mergeCell ref="I346:J346"/>
    <mergeCell ref="L346:M346"/>
    <mergeCell ref="N346:O346"/>
    <mergeCell ref="G338:J338"/>
    <mergeCell ref="L338:O338"/>
    <mergeCell ref="G339:J339"/>
    <mergeCell ref="L339:O339"/>
    <mergeCell ref="G336:J336"/>
    <mergeCell ref="L336:O336"/>
    <mergeCell ref="G337:J337"/>
    <mergeCell ref="L337:O337"/>
    <mergeCell ref="G330:H330"/>
    <mergeCell ref="G331:H331"/>
    <mergeCell ref="F334:F335"/>
    <mergeCell ref="K334:K335"/>
    <mergeCell ref="G317:J317"/>
    <mergeCell ref="G327:H327"/>
    <mergeCell ref="G328:H328"/>
    <mergeCell ref="G329:H329"/>
    <mergeCell ref="G313:J313"/>
    <mergeCell ref="G314:J314"/>
    <mergeCell ref="G315:J315"/>
    <mergeCell ref="G316:J316"/>
    <mergeCell ref="L307:O307"/>
    <mergeCell ref="L308:O308"/>
    <mergeCell ref="G307:H307"/>
    <mergeCell ref="I307:J307"/>
    <mergeCell ref="G308:H308"/>
    <mergeCell ref="I308:J308"/>
    <mergeCell ref="L305:O305"/>
    <mergeCell ref="L306:O306"/>
    <mergeCell ref="G305:H305"/>
    <mergeCell ref="I305:J305"/>
    <mergeCell ref="G306:H306"/>
    <mergeCell ref="I306:J306"/>
    <mergeCell ref="G299:J299"/>
    <mergeCell ref="L299:O299"/>
    <mergeCell ref="L304:O304"/>
    <mergeCell ref="G304:H304"/>
    <mergeCell ref="I304:J304"/>
    <mergeCell ref="G297:J297"/>
    <mergeCell ref="L297:O297"/>
    <mergeCell ref="G298:J298"/>
    <mergeCell ref="L298:O298"/>
    <mergeCell ref="G295:J295"/>
    <mergeCell ref="L295:O295"/>
    <mergeCell ref="G296:J296"/>
    <mergeCell ref="L296:O296"/>
    <mergeCell ref="G288:H288"/>
    <mergeCell ref="I288:J288"/>
    <mergeCell ref="L288:O288"/>
    <mergeCell ref="G289:H289"/>
    <mergeCell ref="I289:J289"/>
    <mergeCell ref="L289:O289"/>
    <mergeCell ref="G286:H286"/>
    <mergeCell ref="I286:J286"/>
    <mergeCell ref="L286:O286"/>
    <mergeCell ref="G287:H287"/>
    <mergeCell ref="I287:J287"/>
    <mergeCell ref="L287:O287"/>
    <mergeCell ref="G280:J280"/>
    <mergeCell ref="G285:H285"/>
    <mergeCell ref="I285:J285"/>
    <mergeCell ref="L285:O285"/>
    <mergeCell ref="G276:J276"/>
    <mergeCell ref="G277:J277"/>
    <mergeCell ref="G278:J278"/>
    <mergeCell ref="G279:J279"/>
    <mergeCell ref="G270:J270"/>
    <mergeCell ref="L270:M270"/>
    <mergeCell ref="N270:O270"/>
    <mergeCell ref="G271:J271"/>
    <mergeCell ref="L271:M271"/>
    <mergeCell ref="N271:O271"/>
    <mergeCell ref="G268:J268"/>
    <mergeCell ref="L268:M268"/>
    <mergeCell ref="N268:O268"/>
    <mergeCell ref="G269:J269"/>
    <mergeCell ref="L269:M269"/>
    <mergeCell ref="N269:O269"/>
    <mergeCell ref="G260:J260"/>
    <mergeCell ref="L260:O260"/>
    <mergeCell ref="G267:J267"/>
    <mergeCell ref="L267:M267"/>
    <mergeCell ref="N267:O267"/>
    <mergeCell ref="G258:J258"/>
    <mergeCell ref="L258:O258"/>
    <mergeCell ref="G259:J259"/>
    <mergeCell ref="L259:O259"/>
    <mergeCell ref="G256:J256"/>
    <mergeCell ref="L256:O256"/>
    <mergeCell ref="G257:J257"/>
    <mergeCell ref="L257:O257"/>
    <mergeCell ref="N249:O249"/>
    <mergeCell ref="G250:H250"/>
    <mergeCell ref="I250:J250"/>
    <mergeCell ref="L250:M250"/>
    <mergeCell ref="N250:O250"/>
    <mergeCell ref="G248:H248"/>
    <mergeCell ref="I248:J248"/>
    <mergeCell ref="L248:M248"/>
    <mergeCell ref="N248:O248"/>
    <mergeCell ref="G246:H246"/>
    <mergeCell ref="I246:J246"/>
    <mergeCell ref="L246:M246"/>
    <mergeCell ref="N246:O246"/>
    <mergeCell ref="I243:J243"/>
    <mergeCell ref="N243:O243"/>
    <mergeCell ref="G244:H244"/>
    <mergeCell ref="I244:J244"/>
    <mergeCell ref="L244:M244"/>
    <mergeCell ref="N244:O244"/>
    <mergeCell ref="G231:H231"/>
    <mergeCell ref="L231:M231"/>
    <mergeCell ref="N231:O231"/>
    <mergeCell ref="N232:O232"/>
    <mergeCell ref="I241:J241"/>
    <mergeCell ref="G242:H242"/>
    <mergeCell ref="I242:J242"/>
    <mergeCell ref="L242:M242"/>
    <mergeCell ref="N242:O242"/>
    <mergeCell ref="N233:O233"/>
    <mergeCell ref="G240:H240"/>
    <mergeCell ref="I240:J240"/>
    <mergeCell ref="L240:M240"/>
    <mergeCell ref="N240:O240"/>
    <mergeCell ref="G233:H233"/>
    <mergeCell ref="L233:M233"/>
    <mergeCell ref="G229:H229"/>
    <mergeCell ref="L229:M229"/>
    <mergeCell ref="N229:O229"/>
    <mergeCell ref="N230:O230"/>
    <mergeCell ref="G226:H226"/>
    <mergeCell ref="L226:M226"/>
    <mergeCell ref="N226:O226"/>
    <mergeCell ref="G227:H227"/>
    <mergeCell ref="L227:M227"/>
    <mergeCell ref="N227:O227"/>
    <mergeCell ref="G224:H224"/>
    <mergeCell ref="L224:M224"/>
    <mergeCell ref="N224:O224"/>
    <mergeCell ref="G225:H225"/>
    <mergeCell ref="L225:M225"/>
    <mergeCell ref="N225:O225"/>
    <mergeCell ref="G217:J217"/>
    <mergeCell ref="L217:O217"/>
    <mergeCell ref="G223:H223"/>
    <mergeCell ref="L223:M223"/>
    <mergeCell ref="N223:O223"/>
    <mergeCell ref="G215:J215"/>
    <mergeCell ref="L215:O215"/>
    <mergeCell ref="G216:J216"/>
    <mergeCell ref="L216:O216"/>
    <mergeCell ref="G213:J213"/>
    <mergeCell ref="L213:O213"/>
    <mergeCell ref="G214:J214"/>
    <mergeCell ref="L214:O214"/>
    <mergeCell ref="G206:H206"/>
    <mergeCell ref="I206:J206"/>
    <mergeCell ref="G208:H208"/>
    <mergeCell ref="I208:J208"/>
    <mergeCell ref="G203:H203"/>
    <mergeCell ref="I203:J203"/>
    <mergeCell ref="G204:H204"/>
    <mergeCell ref="I204:J204"/>
    <mergeCell ref="G197:J197"/>
    <mergeCell ref="L197:O197"/>
    <mergeCell ref="L198:O198"/>
    <mergeCell ref="G199:J199"/>
    <mergeCell ref="L199:O199"/>
    <mergeCell ref="G195:J195"/>
    <mergeCell ref="L195:O195"/>
    <mergeCell ref="G196:J196"/>
    <mergeCell ref="L196:O196"/>
    <mergeCell ref="G189:I189"/>
    <mergeCell ref="J189:L189"/>
    <mergeCell ref="M189:N189"/>
    <mergeCell ref="G190:I190"/>
    <mergeCell ref="J190:L190"/>
    <mergeCell ref="M190:N190"/>
    <mergeCell ref="G186:I186"/>
    <mergeCell ref="J186:L186"/>
    <mergeCell ref="M186:N186"/>
    <mergeCell ref="G188:I188"/>
    <mergeCell ref="J188:L188"/>
    <mergeCell ref="M188:N188"/>
    <mergeCell ref="G180:J180"/>
    <mergeCell ref="G181:J181"/>
    <mergeCell ref="L181:M181"/>
    <mergeCell ref="G175:J175"/>
    <mergeCell ref="L175:M175"/>
    <mergeCell ref="G177:J177"/>
    <mergeCell ref="L177:M177"/>
    <mergeCell ref="G178:J178"/>
    <mergeCell ref="G179:J179"/>
    <mergeCell ref="L179:M179"/>
    <mergeCell ref="M97:O97"/>
    <mergeCell ref="G171:J171"/>
    <mergeCell ref="G173:J173"/>
    <mergeCell ref="L171:M171"/>
    <mergeCell ref="N171:O171"/>
    <mergeCell ref="L172:M172"/>
    <mergeCell ref="N172:O172"/>
    <mergeCell ref="L173:M173"/>
    <mergeCell ref="N173:O173"/>
    <mergeCell ref="G150:J150"/>
    <mergeCell ref="N154:O154"/>
    <mergeCell ref="N155:O155"/>
    <mergeCell ref="N156:O156"/>
    <mergeCell ref="L174:M174"/>
    <mergeCell ref="N174:O174"/>
    <mergeCell ref="G156:J156"/>
    <mergeCell ref="M93:O93"/>
    <mergeCell ref="M94:O94"/>
    <mergeCell ref="M95:O95"/>
    <mergeCell ref="M96:O96"/>
    <mergeCell ref="N87:O87"/>
    <mergeCell ref="L89:M89"/>
    <mergeCell ref="N89:O89"/>
    <mergeCell ref="L91:M91"/>
    <mergeCell ref="N91:O91"/>
    <mergeCell ref="J61:K61"/>
    <mergeCell ref="J62:K62"/>
    <mergeCell ref="J63:K63"/>
    <mergeCell ref="L87:M87"/>
    <mergeCell ref="G57:G58"/>
    <mergeCell ref="H59:I59"/>
    <mergeCell ref="J59:K59"/>
    <mergeCell ref="J60:K60"/>
    <mergeCell ref="J50:K50"/>
    <mergeCell ref="L50:M50"/>
    <mergeCell ref="L52:M52"/>
    <mergeCell ref="N50:O50"/>
    <mergeCell ref="J51:K51"/>
    <mergeCell ref="L51:M51"/>
    <mergeCell ref="N51:O51"/>
    <mergeCell ref="N36:O36"/>
    <mergeCell ref="G37:H37"/>
    <mergeCell ref="I37:J37"/>
    <mergeCell ref="N37:O37"/>
    <mergeCell ref="H46:I46"/>
    <mergeCell ref="J46:K46"/>
    <mergeCell ref="F19:F20"/>
    <mergeCell ref="F28:F29"/>
    <mergeCell ref="N34:O34"/>
    <mergeCell ref="G35:H35"/>
    <mergeCell ref="I35:J35"/>
    <mergeCell ref="N181:O181"/>
    <mergeCell ref="N177:O177"/>
    <mergeCell ref="N178:O178"/>
    <mergeCell ref="N179:O179"/>
    <mergeCell ref="N180:O180"/>
    <mergeCell ref="N175:O175"/>
    <mergeCell ref="N35:O35"/>
    <mergeCell ref="I34:J34"/>
    <mergeCell ref="N38:O38"/>
    <mergeCell ref="G39:H39"/>
    <mergeCell ref="I39:J39"/>
    <mergeCell ref="N39:O39"/>
    <mergeCell ref="G38:H38"/>
    <mergeCell ref="I38:J38"/>
    <mergeCell ref="G36:H36"/>
    <mergeCell ref="I36:J36"/>
    <mergeCell ref="N52:O52"/>
    <mergeCell ref="L53:M53"/>
    <mergeCell ref="N53:O53"/>
  </mergeCells>
  <phoneticPr fontId="21"/>
  <conditionalFormatting sqref="I44">
    <cfRule type="expression" dxfId="121" priority="1" stopIfTrue="1">
      <formula>AND(J33&gt;0,$M$45&gt;0)</formula>
    </cfRule>
  </conditionalFormatting>
  <conditionalFormatting sqref="I56">
    <cfRule type="expression" dxfId="120" priority="2" stopIfTrue="1">
      <formula>AND(O33&gt;0,K57&gt;0)</formula>
    </cfRule>
  </conditionalFormatting>
  <conditionalFormatting sqref="L9 M144 K69 K117 K101 K85 K133 K255 K194 K212 K169 K238 K266 K284 K294 K303 M326 K344 K362 K371 K380 K389 K399 K408 K417 K426 K436 K221">
    <cfRule type="expression" dxfId="119" priority="3" stopIfTrue="1">
      <formula>AND(OR(K9&lt;1,K9&gt;5),K9&lt;&gt;0)</formula>
    </cfRule>
    <cfRule type="expression" dxfId="118" priority="4" stopIfTrue="1">
      <formula>$O8&gt;0</formula>
    </cfRule>
  </conditionalFormatting>
  <conditionalFormatting sqref="K334 F334">
    <cfRule type="expression" dxfId="117" priority="5" stopIfTrue="1">
      <formula>AND(OR(F334&lt;1,F334&gt;5),F334&lt;&gt;R341)</formula>
    </cfRule>
    <cfRule type="expression" dxfId="116" priority="6" stopIfTrue="1">
      <formula>J333&gt;0</formula>
    </cfRule>
  </conditionalFormatting>
  <conditionalFormatting sqref="K335 F335">
    <cfRule type="expression" dxfId="115" priority="7" stopIfTrue="1">
      <formula>AND(OR(F335&lt;1,F335&gt;5),F335&lt;&gt;#REF!)</formula>
    </cfRule>
    <cfRule type="expression" dxfId="114" priority="8" stopIfTrue="1">
      <formula>J334&gt;0</formula>
    </cfRule>
  </conditionalFormatting>
  <conditionalFormatting sqref="G44">
    <cfRule type="expression" dxfId="113" priority="9" stopIfTrue="1">
      <formula>AND(OR($G$44&lt;1,$G$44&gt;5),$G$44&lt;&gt;$R$40)</formula>
    </cfRule>
    <cfRule type="expression" dxfId="112" priority="10" stopIfTrue="1">
      <formula>AND(O33&gt;0,O$45&gt;0,I44=$T$4)</formula>
    </cfRule>
  </conditionalFormatting>
  <conditionalFormatting sqref="G56">
    <cfRule type="expression" dxfId="111" priority="11" stopIfTrue="1">
      <formula>AND(OR($G$56&lt;1,$G$56&gt;5),$G$56&lt;&gt;$W$40)</formula>
    </cfRule>
    <cfRule type="expression" dxfId="110" priority="12" stopIfTrue="1">
      <formula>AND(O33&gt;0,K57&gt;0,I56=$T$4)</formula>
    </cfRule>
  </conditionalFormatting>
  <conditionalFormatting sqref="F44">
    <cfRule type="expression" dxfId="109" priority="13" stopIfTrue="1">
      <formula>AND(OR($F$44&lt;1,$F$44&gt;5),$F$44&lt;&gt;$R$40)</formula>
    </cfRule>
    <cfRule type="expression" dxfId="108" priority="14" stopIfTrue="1">
      <formula>AND(J33&gt;0,$M$45&gt;0,I44=$T$4)</formula>
    </cfRule>
  </conditionalFormatting>
  <conditionalFormatting sqref="F9 F144 F169 F133 F117 F101 F85 F69 F203 F212 F221 F266 F275 F284 F294 F303 F326 F344 F362 F380 F399 F408 F426 F436 F371 F312 F238 F417 F389 F255 F194 F160 F185">
    <cfRule type="expression" dxfId="107" priority="15" stopIfTrue="1">
      <formula>AND(OR(F9&lt;1,F9&gt;5),F9&lt;&gt;0)</formula>
    </cfRule>
    <cfRule type="expression" dxfId="106" priority="16" stopIfTrue="1">
      <formula>$J8&gt;0</formula>
    </cfRule>
  </conditionalFormatting>
  <conditionalFormatting sqref="G59:G60">
    <cfRule type="expression" dxfId="105" priority="17" stopIfTrue="1">
      <formula>$I$56=$T$4</formula>
    </cfRule>
    <cfRule type="expression" dxfId="104" priority="18" stopIfTrue="1">
      <formula>AND($O$33&gt;0,$K$57&gt;0)</formula>
    </cfRule>
  </conditionalFormatting>
  <conditionalFormatting sqref="G61:G63">
    <cfRule type="expression" dxfId="103" priority="19" stopIfTrue="1">
      <formula>$I$56=$T$4</formula>
    </cfRule>
    <cfRule type="expression" dxfId="102" priority="20" stopIfTrue="1">
      <formula>AND($O$33&gt;0,$K$57&gt;0)</formula>
    </cfRule>
  </conditionalFormatting>
  <conditionalFormatting sqref="F50:G53">
    <cfRule type="expression" dxfId="101" priority="21" stopIfTrue="1">
      <formula>$J$33&gt;0</formula>
    </cfRule>
  </conditionalFormatting>
  <conditionalFormatting sqref="F46:G49">
    <cfRule type="expression" dxfId="100" priority="22" stopIfTrue="1">
      <formula>AND($J$33&gt;0,$M$45&gt;2000)</formula>
    </cfRule>
    <cfRule type="expression" dxfId="99" priority="23" stopIfTrue="1">
      <formula>AND($J$33&gt;0,$M$45&lt;2000,$F$41=$S$3)</formula>
    </cfRule>
  </conditionalFormatting>
  <conditionalFormatting sqref="F41">
    <cfRule type="expression" dxfId="98" priority="24" stopIfTrue="1">
      <formula>$M$45&lt;2000</formula>
    </cfRule>
  </conditionalFormatting>
  <dataValidations count="10">
    <dataValidation type="list" allowBlank="1" showInputMessage="1" sqref="K334 F334">
      <formula1>R336:R341</formula1>
    </dataValidation>
    <dataValidation type="list" allowBlank="1" showInputMessage="1" sqref="L9 M144 K69 K117 K101 K85 K133 K194 K212 K169 K238 K266 K284 K294 K303 M326 K344 K362 K371 K380 K389 K399 K408 K417 K426 K436 K255 K221">
      <formula1>$C10:$C15</formula1>
    </dataValidation>
    <dataValidation type="list" allowBlank="1" showInputMessage="1" sqref="K335 F335">
      <formula1>R337:R341</formula1>
    </dataValidation>
    <dataValidation type="list" allowBlank="1" showInputMessage="1" sqref="F9 F144 F169 F133 F117 F101 F85 F69 F203 F212 F221 F266 F275 F284 F294 F303 F326 F344 F185 F380 F399 F408 F426 F436 F371 F312 F238 F417 F389 F255 F194 F160 F362">
      <formula1>$B10:$B15</formula1>
    </dataValidation>
    <dataValidation type="list" allowBlank="1" showInputMessage="1" showErrorMessage="1" sqref="I56 I44">
      <formula1>$T$3:$T$4</formula1>
    </dataValidation>
    <dataValidation type="list" allowBlank="1" showInputMessage="1" showErrorMessage="1" sqref="G59:G63 F46:G53">
      <formula1>"○,　"</formula1>
    </dataValidation>
    <dataValidation type="list" allowBlank="1" sqref="G56">
      <formula1>$B$57:$B$62</formula1>
    </dataValidation>
    <dataValidation type="list" allowBlank="1" showInputMessage="1" sqref="G44">
      <formula1>$C$45:$C$50</formula1>
    </dataValidation>
    <dataValidation type="list" allowBlank="1" showInputMessage="1" showErrorMessage="1" sqref="F41">
      <formula1>$S$3:$S$4</formula1>
    </dataValidation>
    <dataValidation type="list" allowBlank="1" showInputMessage="1" sqref="F44">
      <formula1>$B$45:$B$50</formula1>
    </dataValidation>
  </dataValidations>
  <printOptions horizontalCentered="1"/>
  <pageMargins left="0.59055118110236227" right="0.59055118110236227" top="0.78740157480314965" bottom="0.59055118110236227" header="0.51181102362204722" footer="0.51181102362204722"/>
  <pageSetup paperSize="9" scale="68" fitToHeight="10" orientation="portrait" verticalDpi="4294967293" r:id="rId1"/>
  <headerFooter alignWithMargins="0">
    <oddHeader>&amp;L&amp;F&amp;R&amp;A</oddHeader>
    <oddFooter>&amp;C&amp;P/&amp;N</oddFooter>
  </headerFooter>
  <rowBreaks count="5" manualBreakCount="5">
    <brk id="139" max="16383" man="1"/>
    <brk id="218" min="3" max="15" man="1"/>
    <brk id="289" min="3" max="15" man="1"/>
    <brk id="357" min="3" max="15" man="1"/>
    <brk id="414" min="3" max="15"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AA398"/>
  <sheetViews>
    <sheetView showGridLines="0" zoomScaleNormal="100" zoomScaleSheetLayoutView="100" workbookViewId="0"/>
  </sheetViews>
  <sheetFormatPr defaultColWidth="0" defaultRowHeight="13.5" zeroHeight="1"/>
  <cols>
    <col min="1" max="1" width="1.25" customWidth="1"/>
    <col min="2" max="2" width="21.375" hidden="1" customWidth="1"/>
    <col min="3" max="3" width="6" hidden="1" customWidth="1"/>
    <col min="4" max="4" width="5" style="2559" customWidth="1"/>
    <col min="5" max="5" width="1.5" style="144" customWidth="1"/>
    <col min="6" max="15" width="12.5" style="144" customWidth="1"/>
    <col min="16" max="16" width="2.875" customWidth="1"/>
    <col min="17" max="17" width="8.625" hidden="1" customWidth="1"/>
    <col min="18" max="18" width="5.875" hidden="1" customWidth="1"/>
    <col min="19" max="19" width="9.75" hidden="1" customWidth="1"/>
    <col min="20" max="20" width="14.375" hidden="1" customWidth="1"/>
    <col min="21" max="21" width="10.25" hidden="1" customWidth="1"/>
    <col min="22" max="22" width="27.25" hidden="1" customWidth="1"/>
    <col min="23" max="23" width="2.5" hidden="1" customWidth="1"/>
    <col min="24" max="24" width="6" hidden="1" customWidth="1"/>
    <col min="25" max="25" width="14.375" hidden="1" customWidth="1"/>
    <col min="26" max="26" width="11.125" hidden="1" customWidth="1"/>
    <col min="27" max="27" width="2.5" hidden="1" customWidth="1"/>
  </cols>
  <sheetData>
    <row r="1" spans="2:22" ht="15.75">
      <c r="D1" s="1020"/>
      <c r="E1" s="1259"/>
      <c r="F1" s="1259"/>
      <c r="G1" s="1021"/>
      <c r="H1" s="1021"/>
      <c r="I1" s="1021"/>
      <c r="J1" s="1021"/>
      <c r="K1" s="1259"/>
      <c r="L1" s="1259"/>
      <c r="M1" s="1022" t="s">
        <v>2952</v>
      </c>
      <c r="N1" s="1023" t="str">
        <f>メイン!C11</f>
        <v>○○ビル</v>
      </c>
      <c r="O1" s="1024"/>
      <c r="R1" t="s">
        <v>1450</v>
      </c>
    </row>
    <row r="2" spans="2:22" ht="16.5" thickBot="1">
      <c r="D2" s="1020"/>
      <c r="E2" s="1260"/>
      <c r="F2" s="1260"/>
      <c r="G2" s="1181"/>
      <c r="H2" s="1181"/>
      <c r="I2" s="1181"/>
      <c r="J2" s="1181"/>
      <c r="K2" s="1260"/>
      <c r="L2" s="1260"/>
      <c r="M2" s="1260"/>
      <c r="N2" s="1260"/>
      <c r="O2" s="1260"/>
    </row>
    <row r="3" spans="2:22" ht="18.75" thickBot="1">
      <c r="D3" s="1535" t="s">
        <v>1797</v>
      </c>
      <c r="E3" s="1261"/>
      <c r="F3" s="577"/>
      <c r="G3" s="1026"/>
      <c r="H3" s="1026"/>
      <c r="I3" s="1028"/>
      <c r="J3" s="1029" t="s">
        <v>2827</v>
      </c>
      <c r="K3" s="1030"/>
      <c r="L3" s="1030"/>
      <c r="M3" s="577"/>
      <c r="N3" s="577"/>
      <c r="O3" s="1262" t="str">
        <f>IF(メイン!E39=0,"",メイン!E39)</f>
        <v>基本設計段階</v>
      </c>
      <c r="R3" t="s">
        <v>1480</v>
      </c>
      <c r="S3" t="s">
        <v>2118</v>
      </c>
      <c r="U3" t="str">
        <f>メイン!I39</f>
        <v>基本設計段階</v>
      </c>
    </row>
    <row r="4" spans="2:22" ht="6" customHeight="1">
      <c r="D4" s="1025"/>
      <c r="E4" s="1261"/>
      <c r="F4" s="577"/>
      <c r="G4" s="1026"/>
      <c r="H4" s="1026"/>
      <c r="I4" s="1221"/>
      <c r="J4" s="1026"/>
      <c r="K4" s="1030"/>
      <c r="L4" s="1030"/>
      <c r="M4" s="577"/>
      <c r="N4" s="577"/>
      <c r="O4" s="577"/>
      <c r="T4" t="s">
        <v>2119</v>
      </c>
      <c r="U4" t="str">
        <f>メイン!I40</f>
        <v>実施設計段階</v>
      </c>
      <c r="V4" t="s">
        <v>1988</v>
      </c>
    </row>
    <row r="5" spans="2:22" ht="15.75">
      <c r="D5" s="1465">
        <v>1</v>
      </c>
      <c r="E5" s="1263" t="s">
        <v>1030</v>
      </c>
      <c r="F5" s="1263"/>
      <c r="G5" s="1032"/>
      <c r="H5" s="1032"/>
      <c r="I5" s="1032"/>
      <c r="J5" s="1032"/>
      <c r="K5" s="1263"/>
      <c r="L5" s="1263"/>
      <c r="M5" s="1263"/>
      <c r="N5" s="1263"/>
      <c r="O5" s="1263"/>
      <c r="U5" t="str">
        <f>メイン!I41</f>
        <v>竣工段階</v>
      </c>
    </row>
    <row r="6" spans="2:22" ht="15.75">
      <c r="D6" s="1465">
        <v>1.1000000000000001</v>
      </c>
      <c r="E6" s="1263" t="s">
        <v>2588</v>
      </c>
      <c r="F6" s="1263"/>
      <c r="G6" s="1264"/>
      <c r="H6" s="1032"/>
      <c r="I6" s="1032"/>
      <c r="J6" s="1032"/>
      <c r="K6" s="1263"/>
      <c r="L6" s="1265"/>
      <c r="M6" s="1263"/>
      <c r="N6" s="1263"/>
      <c r="O6" s="1263"/>
      <c r="S6" t="s">
        <v>1798</v>
      </c>
      <c r="U6">
        <f>メイン!Q42</f>
        <v>0</v>
      </c>
    </row>
    <row r="7" spans="2:22" ht="15.75">
      <c r="D7" s="1025"/>
      <c r="E7" s="1030"/>
      <c r="F7" s="1036" t="s">
        <v>1989</v>
      </c>
      <c r="G7" s="1037"/>
      <c r="H7" s="1266"/>
      <c r="I7" s="1021"/>
      <c r="J7" s="1119" t="str">
        <f>IF(OR(F9=0,AND(J8=0,O8=0)),$R$3,"")</f>
        <v/>
      </c>
      <c r="K7" s="1036"/>
      <c r="L7" s="1037"/>
      <c r="M7" s="1266"/>
      <c r="N7" s="1021"/>
      <c r="O7" s="1038"/>
      <c r="S7" t="s">
        <v>1799</v>
      </c>
    </row>
    <row r="8" spans="2:22" ht="16.5" thickBot="1">
      <c r="D8" s="1025"/>
      <c r="E8" s="1030"/>
      <c r="F8" s="1042" t="s">
        <v>540</v>
      </c>
      <c r="G8" s="1043"/>
      <c r="H8" s="1044"/>
      <c r="I8" s="1045" t="s">
        <v>1484</v>
      </c>
      <c r="J8" s="1048">
        <f>重み!M64</f>
        <v>0.33333333333333331</v>
      </c>
      <c r="K8" s="1042" t="s">
        <v>2123</v>
      </c>
      <c r="L8" s="1043"/>
      <c r="M8" s="1044"/>
      <c r="N8" s="1045" t="s">
        <v>1484</v>
      </c>
      <c r="O8" s="1048">
        <f>重み!N64</f>
        <v>0</v>
      </c>
    </row>
    <row r="9" spans="2:22" ht="16.5" thickBot="1">
      <c r="D9" s="1025"/>
      <c r="E9" s="1030"/>
      <c r="F9" s="1049">
        <v>3</v>
      </c>
      <c r="G9" s="1166" t="s">
        <v>1990</v>
      </c>
      <c r="H9" s="1055"/>
      <c r="I9" s="1256" t="s">
        <v>1918</v>
      </c>
      <c r="J9" s="1552"/>
      <c r="K9" s="1049">
        <v>3</v>
      </c>
      <c r="L9" s="1166" t="s">
        <v>1991</v>
      </c>
      <c r="M9" s="1055"/>
      <c r="N9" s="1166" t="s">
        <v>1800</v>
      </c>
      <c r="O9" s="1055"/>
    </row>
    <row r="10" spans="2:22" ht="30.75" customHeight="1">
      <c r="B10" s="1267">
        <v>1</v>
      </c>
      <c r="C10" s="1">
        <v>1</v>
      </c>
      <c r="D10" s="1025"/>
      <c r="E10" s="1030"/>
      <c r="F10" s="1056" t="str">
        <f>IF(F9=$S$15,$T$10,IF(ROUNDDOWN(F9,0)=$S$10,$U$10,$T$10))</f>
        <v>　レベル　1</v>
      </c>
      <c r="G10" s="2896" t="s">
        <v>2498</v>
      </c>
      <c r="H10" s="2902"/>
      <c r="I10" s="3009" t="s">
        <v>2499</v>
      </c>
      <c r="J10" s="3010"/>
      <c r="K10" s="1056" t="str">
        <f>IF(K9=$S$15,$T$10,IF(ROUNDDOWN(K9,0)=$S$10,$U$10,$T$10))</f>
        <v>　レベル　1</v>
      </c>
      <c r="L10" s="2896" t="s">
        <v>1770</v>
      </c>
      <c r="M10" s="2914"/>
      <c r="N10" s="2896" t="s">
        <v>1770</v>
      </c>
      <c r="O10" s="2914"/>
      <c r="S10">
        <v>1</v>
      </c>
      <c r="T10" t="s">
        <v>1801</v>
      </c>
      <c r="U10" t="s">
        <v>2894</v>
      </c>
    </row>
    <row r="11" spans="2:22" ht="30.75" customHeight="1">
      <c r="B11" s="1267" t="s">
        <v>3105</v>
      </c>
      <c r="C11" s="1" t="s">
        <v>3105</v>
      </c>
      <c r="D11" s="1025"/>
      <c r="E11" s="1030"/>
      <c r="F11" s="1061" t="str">
        <f>IF(F9=$S$15,$T$11,IF(ROUNDDOWN(F9,0)=$S$11,$U$11,$T$11))</f>
        <v>　レベル　2</v>
      </c>
      <c r="G11" s="2900" t="s">
        <v>2365</v>
      </c>
      <c r="H11" s="2943"/>
      <c r="I11" s="2954" t="s">
        <v>2500</v>
      </c>
      <c r="J11" s="3011"/>
      <c r="K11" s="1061" t="str">
        <f>IF(K9=$S$15,$T$11,IF(ROUNDDOWN(K9,0)=$S$11,$U$11,$T$11))</f>
        <v>　レベル　2</v>
      </c>
      <c r="L11" s="2900" t="s">
        <v>2365</v>
      </c>
      <c r="M11" s="2901"/>
      <c r="N11" s="2900" t="s">
        <v>2365</v>
      </c>
      <c r="O11" s="2901"/>
      <c r="S11">
        <v>2</v>
      </c>
      <c r="T11" t="s">
        <v>1451</v>
      </c>
      <c r="U11" t="s">
        <v>1452</v>
      </c>
    </row>
    <row r="12" spans="2:22" ht="30.75" customHeight="1">
      <c r="B12" s="1268">
        <v>3</v>
      </c>
      <c r="C12" s="1">
        <v>3</v>
      </c>
      <c r="D12" s="1025"/>
      <c r="E12" s="1030"/>
      <c r="F12" s="1061" t="str">
        <f>IF(F9=$S$15,$T$12,IF(ROUNDDOWN(F9,0)=$S$12,$U$12,$T$12))</f>
        <v>■レベル　3</v>
      </c>
      <c r="G12" s="2900" t="s">
        <v>2501</v>
      </c>
      <c r="H12" s="2943"/>
      <c r="I12" s="2954" t="s">
        <v>2502</v>
      </c>
      <c r="J12" s="3011"/>
      <c r="K12" s="1061" t="str">
        <f>IF(K9=$S$15,$T$12,IF(ROUNDDOWN(K9,0)=$S$12,$U$12,$T$12))</f>
        <v>■レベル　3</v>
      </c>
      <c r="L12" s="2900" t="s">
        <v>2895</v>
      </c>
      <c r="M12" s="2901"/>
      <c r="N12" s="2900" t="s">
        <v>2896</v>
      </c>
      <c r="O12" s="2901"/>
      <c r="S12">
        <v>3</v>
      </c>
      <c r="T12" t="s">
        <v>1457</v>
      </c>
      <c r="U12" t="s">
        <v>1458</v>
      </c>
    </row>
    <row r="13" spans="2:22" ht="30.75" customHeight="1">
      <c r="B13" s="1267">
        <v>4</v>
      </c>
      <c r="C13" s="1">
        <v>4</v>
      </c>
      <c r="D13" s="1025"/>
      <c r="E13" s="1030"/>
      <c r="F13" s="1061" t="str">
        <f>IF(F9=$S$15,$T$13,IF(ROUNDDOWN(F9,0)=$S$13,$U$13,$T$13))</f>
        <v>　レベル　4</v>
      </c>
      <c r="G13" s="2900" t="s">
        <v>1978</v>
      </c>
      <c r="H13" s="2943"/>
      <c r="I13" s="2954" t="s">
        <v>2503</v>
      </c>
      <c r="J13" s="3011"/>
      <c r="K13" s="1061" t="str">
        <f>IF(K9=$S$15,$T$13,IF(ROUNDDOWN(K9,0)=$S$13,$U$13,$T$13))</f>
        <v>　レベル　4</v>
      </c>
      <c r="L13" s="2900" t="s">
        <v>2365</v>
      </c>
      <c r="M13" s="2901"/>
      <c r="N13" s="2900" t="s">
        <v>2897</v>
      </c>
      <c r="O13" s="2901"/>
      <c r="S13">
        <v>4</v>
      </c>
      <c r="T13" t="s">
        <v>1335</v>
      </c>
      <c r="U13" t="s">
        <v>1336</v>
      </c>
    </row>
    <row r="14" spans="2:22" ht="30.75" customHeight="1">
      <c r="B14" s="1267">
        <v>5</v>
      </c>
      <c r="C14" s="1">
        <v>5</v>
      </c>
      <c r="D14" s="1025"/>
      <c r="E14" s="1030"/>
      <c r="F14" s="1072" t="str">
        <f>IF(F9=$S$15,$T$14,IF(ROUNDDOWN(F9,0)=$S$14,$U$14,$T$14))</f>
        <v>　レベル　5</v>
      </c>
      <c r="G14" s="2898" t="s">
        <v>2504</v>
      </c>
      <c r="H14" s="2928"/>
      <c r="I14" s="2957" t="s">
        <v>2503</v>
      </c>
      <c r="J14" s="3006"/>
      <c r="K14" s="1072" t="str">
        <f>IF(K9=$S$15,$T$14,IF(ROUNDDOWN(K9,0)=$S$14,$U$14,$T$14))</f>
        <v>　レベル　5</v>
      </c>
      <c r="L14" s="2898" t="s">
        <v>2898</v>
      </c>
      <c r="M14" s="2899"/>
      <c r="N14" s="2898" t="s">
        <v>2899</v>
      </c>
      <c r="O14" s="2899"/>
      <c r="S14">
        <v>5</v>
      </c>
      <c r="T14" t="s">
        <v>1342</v>
      </c>
      <c r="U14" t="s">
        <v>1343</v>
      </c>
    </row>
    <row r="15" spans="2:22" ht="15.75">
      <c r="B15" s="1079">
        <v>0</v>
      </c>
      <c r="C15" s="1079">
        <v>0</v>
      </c>
      <c r="D15" s="1025"/>
      <c r="E15" s="1030"/>
      <c r="F15" s="1236"/>
      <c r="G15" s="1115"/>
      <c r="H15" s="1115"/>
      <c r="I15" s="1115"/>
      <c r="J15" s="1115"/>
      <c r="K15" s="1236"/>
      <c r="L15" s="1236"/>
      <c r="M15" s="1236"/>
      <c r="N15" s="1236"/>
      <c r="O15" s="1236"/>
      <c r="S15">
        <v>0</v>
      </c>
      <c r="T15" t="s">
        <v>2900</v>
      </c>
      <c r="U15" t="s">
        <v>2900</v>
      </c>
    </row>
    <row r="16" spans="2:22" ht="15.75">
      <c r="D16" s="1025"/>
      <c r="E16" s="577"/>
      <c r="F16" s="1204" t="s">
        <v>1979</v>
      </c>
      <c r="G16" s="1116"/>
      <c r="H16" s="1165"/>
      <c r="I16" s="1145"/>
      <c r="J16" s="1119" t="str">
        <f>IF(OR(F18=0,AND(J17=0,O17=0)),$R$3,"")</f>
        <v/>
      </c>
      <c r="K16" s="1204"/>
      <c r="L16" s="1116"/>
      <c r="M16" s="1165"/>
      <c r="N16" s="1145"/>
      <c r="O16" s="1119"/>
    </row>
    <row r="17" spans="2:15" ht="16.5" thickBot="1">
      <c r="D17" s="1025"/>
      <c r="E17" s="577"/>
      <c r="F17" s="1042" t="s">
        <v>2901</v>
      </c>
      <c r="G17" s="1043"/>
      <c r="H17" s="1044"/>
      <c r="I17" s="1045" t="s">
        <v>1484</v>
      </c>
      <c r="J17" s="1048">
        <f>重み!M65</f>
        <v>0.33333333333333331</v>
      </c>
      <c r="K17" s="1042" t="s">
        <v>2123</v>
      </c>
      <c r="L17" s="1043"/>
      <c r="M17" s="1044"/>
      <c r="N17" s="1045" t="s">
        <v>1484</v>
      </c>
      <c r="O17" s="1048">
        <f>重み!N65</f>
        <v>0</v>
      </c>
    </row>
    <row r="18" spans="2:15" ht="16.5" thickBot="1">
      <c r="D18" s="1025"/>
      <c r="E18" s="577"/>
      <c r="F18" s="1049">
        <v>3</v>
      </c>
      <c r="G18" s="1166" t="s">
        <v>1990</v>
      </c>
      <c r="H18" s="1054"/>
      <c r="I18" s="1054"/>
      <c r="J18" s="1055"/>
      <c r="K18" s="1049">
        <v>3</v>
      </c>
      <c r="L18" s="1166" t="s">
        <v>2902</v>
      </c>
      <c r="M18" s="1055"/>
      <c r="N18" s="1166"/>
      <c r="O18" s="1171"/>
    </row>
    <row r="19" spans="2:15" ht="15.75">
      <c r="B19" s="1">
        <v>1</v>
      </c>
      <c r="C19" s="1">
        <v>1</v>
      </c>
      <c r="D19" s="1025"/>
      <c r="E19" s="577"/>
      <c r="F19" s="1056" t="str">
        <f>IF(F18=$S$15,$T$10,IF(ROUNDDOWN(F18,0)=$S$10,$U$10,$T$10))</f>
        <v>　レベル　1</v>
      </c>
      <c r="G19" s="2896" t="s">
        <v>2184</v>
      </c>
      <c r="H19" s="2897"/>
      <c r="I19" s="2897"/>
      <c r="J19" s="2914"/>
      <c r="K19" s="1269" t="str">
        <f>IF(K18=$S$15,$T$10,IF(ROUNDDOWN(K18,0)=$S$10,$U$10,$T$10))</f>
        <v>　レベル　1</v>
      </c>
      <c r="L19" s="2896" t="s">
        <v>2184</v>
      </c>
      <c r="M19" s="2897"/>
      <c r="N19" s="2897"/>
      <c r="O19" s="2914"/>
    </row>
    <row r="20" spans="2:15" ht="41.25" customHeight="1">
      <c r="B20" s="1">
        <v>2</v>
      </c>
      <c r="C20" s="1">
        <v>2</v>
      </c>
      <c r="D20" s="1025"/>
      <c r="E20" s="577"/>
      <c r="F20" s="1061" t="str">
        <f>IF(F18=$S$15,$T$11,IF(ROUNDDOWN(F18,0)=$S$11,$U$11,$T$11))</f>
        <v>　レベル　2</v>
      </c>
      <c r="G20" s="2900" t="s">
        <v>1820</v>
      </c>
      <c r="H20" s="2906"/>
      <c r="I20" s="2906"/>
      <c r="J20" s="2901"/>
      <c r="K20" s="1269" t="str">
        <f>IF(K18=$S$15,$T$11,IF(ROUNDDOWN(K18,0)=$S$11,$U$11,$T$11))</f>
        <v>　レベル　2</v>
      </c>
      <c r="L20" s="2918" t="s">
        <v>2509</v>
      </c>
      <c r="M20" s="2906"/>
      <c r="N20" s="2906"/>
      <c r="O20" s="2901"/>
    </row>
    <row r="21" spans="2:15" ht="60" customHeight="1">
      <c r="B21" s="1">
        <v>3</v>
      </c>
      <c r="C21" s="1">
        <v>3</v>
      </c>
      <c r="D21" s="1025"/>
      <c r="E21" s="577"/>
      <c r="F21" s="1061" t="str">
        <f>IF(F18=$S$15,$T$12,IF(ROUNDDOWN(F18,0)=$S$12,$U$12,$T$12))</f>
        <v>■レベル　3</v>
      </c>
      <c r="G21" s="2900" t="s">
        <v>2510</v>
      </c>
      <c r="H21" s="2906"/>
      <c r="I21" s="2906"/>
      <c r="J21" s="2901"/>
      <c r="K21" s="1269" t="str">
        <f>IF(K18=$S$15,$T$12,IF(ROUNDDOWN(K18,0)=$S$12,$U$12,$T$12))</f>
        <v>■レベル　3</v>
      </c>
      <c r="L21" s="2918" t="s">
        <v>2511</v>
      </c>
      <c r="M21" s="2906"/>
      <c r="N21" s="2906"/>
      <c r="O21" s="2901"/>
    </row>
    <row r="22" spans="2:15" ht="69.75" customHeight="1">
      <c r="B22" s="1">
        <v>4</v>
      </c>
      <c r="C22" s="1">
        <v>4</v>
      </c>
      <c r="D22" s="1025"/>
      <c r="E22" s="577"/>
      <c r="F22" s="1061" t="str">
        <f>IF(F18=$S$15,$T$13,IF(ROUNDDOWN(F18,0)=$S$13,$U$13,$T$13))</f>
        <v>　レベル　4</v>
      </c>
      <c r="G22" s="2900" t="s">
        <v>2512</v>
      </c>
      <c r="H22" s="2906"/>
      <c r="I22" s="2906"/>
      <c r="J22" s="2901"/>
      <c r="K22" s="1269" t="str">
        <f>IF(K18=$S$15,$T$13,IF(ROUNDDOWN(K18,0)=$S$13,$U$13,$T$13))</f>
        <v>　レベル　4</v>
      </c>
      <c r="L22" s="2918" t="s">
        <v>1701</v>
      </c>
      <c r="M22" s="2906"/>
      <c r="N22" s="2906"/>
      <c r="O22" s="2901"/>
    </row>
    <row r="23" spans="2:15" ht="69.75" customHeight="1">
      <c r="B23" s="1">
        <v>5</v>
      </c>
      <c r="C23" s="1">
        <v>5</v>
      </c>
      <c r="D23" s="1025"/>
      <c r="E23" s="577"/>
      <c r="F23" s="1072" t="str">
        <f>IF(F18=$S$15,$T$14,IF(ROUNDDOWN(F18,0)=$S$14,$U$14,$T$14))</f>
        <v>　レベル　5</v>
      </c>
      <c r="G23" s="2898" t="s">
        <v>2513</v>
      </c>
      <c r="H23" s="2905"/>
      <c r="I23" s="2905"/>
      <c r="J23" s="2899"/>
      <c r="K23" s="1270" t="str">
        <f>IF(K18=$S$15,$T$14,IF(ROUNDDOWN(K18,0)=$S$14,$U$14,$T$14))</f>
        <v>　レベル　5</v>
      </c>
      <c r="L23" s="2919" t="s">
        <v>2514</v>
      </c>
      <c r="M23" s="2905"/>
      <c r="N23" s="2905"/>
      <c r="O23" s="2899"/>
    </row>
    <row r="24" spans="2:15" ht="15.75">
      <c r="B24" s="1079">
        <v>0</v>
      </c>
      <c r="C24" s="1079">
        <v>0</v>
      </c>
      <c r="D24" s="1025"/>
      <c r="E24" s="577"/>
      <c r="F24" s="1236"/>
      <c r="G24" s="1115"/>
      <c r="H24" s="1115"/>
      <c r="I24" s="1115"/>
      <c r="J24" s="1115"/>
      <c r="K24" s="1236"/>
      <c r="L24" s="1236"/>
      <c r="M24" s="1236"/>
      <c r="N24" s="1236"/>
      <c r="O24" s="1236"/>
    </row>
    <row r="25" spans="2:15" ht="15.75">
      <c r="D25" s="1025"/>
      <c r="E25" s="577"/>
      <c r="F25" s="1204" t="s">
        <v>1702</v>
      </c>
      <c r="G25" s="1116"/>
      <c r="H25" s="1165"/>
      <c r="I25" s="1145"/>
      <c r="J25" s="1119" t="str">
        <f>IF(OR(F27=0,AND(J26=0,O26=0)),$R$3,"")</f>
        <v/>
      </c>
      <c r="K25" s="1236"/>
      <c r="L25" s="1236"/>
      <c r="M25" s="1236"/>
      <c r="N25" s="1236"/>
      <c r="O25" s="1236"/>
    </row>
    <row r="26" spans="2:15" ht="16.5" thickBot="1">
      <c r="D26" s="1025"/>
      <c r="E26" s="577"/>
      <c r="F26" s="1185" t="s">
        <v>352</v>
      </c>
      <c r="G26" s="1043"/>
      <c r="H26" s="1044"/>
      <c r="I26" s="1045" t="s">
        <v>1484</v>
      </c>
      <c r="J26" s="1046">
        <f>重み!M66</f>
        <v>0.33333333333333331</v>
      </c>
      <c r="K26" s="1043"/>
      <c r="L26" s="1044"/>
      <c r="M26" s="1043"/>
      <c r="N26" s="1150"/>
      <c r="O26" s="1236"/>
    </row>
    <row r="27" spans="2:15" ht="16.5" thickBot="1">
      <c r="D27" s="1025"/>
      <c r="E27" s="577"/>
      <c r="F27" s="1049">
        <v>3</v>
      </c>
      <c r="G27" s="1166" t="s">
        <v>3395</v>
      </c>
      <c r="H27" s="1055"/>
      <c r="I27" s="1166"/>
      <c r="J27" s="1171"/>
      <c r="K27" s="1271"/>
      <c r="L27" s="1191"/>
      <c r="M27" s="1271"/>
      <c r="N27" s="1171"/>
      <c r="O27" s="1236"/>
    </row>
    <row r="28" spans="2:15" ht="15.75" customHeight="1">
      <c r="B28" s="1">
        <v>1</v>
      </c>
      <c r="C28" s="1">
        <v>1</v>
      </c>
      <c r="D28" s="1025"/>
      <c r="E28" s="577"/>
      <c r="F28" s="1056" t="s">
        <v>3396</v>
      </c>
      <c r="G28" s="2896" t="s">
        <v>3397</v>
      </c>
      <c r="H28" s="2916"/>
      <c r="I28" s="2916"/>
      <c r="J28" s="2916"/>
      <c r="K28" s="3012"/>
      <c r="L28" s="3012"/>
      <c r="M28" s="3012"/>
      <c r="N28" s="3013"/>
      <c r="O28" s="1236"/>
    </row>
    <row r="29" spans="2:15" ht="15.75" customHeight="1">
      <c r="B29" s="1" t="s">
        <v>2515</v>
      </c>
      <c r="C29" s="1" t="s">
        <v>2515</v>
      </c>
      <c r="D29" s="1025"/>
      <c r="E29" s="577"/>
      <c r="F29" s="1061" t="s">
        <v>1451</v>
      </c>
      <c r="G29" s="2900" t="s">
        <v>2365</v>
      </c>
      <c r="H29" s="2906"/>
      <c r="I29" s="2906"/>
      <c r="J29" s="2906"/>
      <c r="K29" s="3014"/>
      <c r="L29" s="3014"/>
      <c r="M29" s="3014"/>
      <c r="N29" s="3015"/>
      <c r="O29" s="1236"/>
    </row>
    <row r="30" spans="2:15" ht="39" customHeight="1">
      <c r="B30" s="1">
        <v>3</v>
      </c>
      <c r="C30" s="1">
        <v>3</v>
      </c>
      <c r="D30" s="1025"/>
      <c r="E30" s="577"/>
      <c r="F30" s="1061" t="s">
        <v>1458</v>
      </c>
      <c r="G30" s="2900" t="s">
        <v>3398</v>
      </c>
      <c r="H30" s="3053"/>
      <c r="I30" s="3053"/>
      <c r="J30" s="3053"/>
      <c r="K30" s="3054"/>
      <c r="L30" s="3054"/>
      <c r="M30" s="3054"/>
      <c r="N30" s="3055"/>
      <c r="O30" s="1236"/>
    </row>
    <row r="31" spans="2:15" ht="39" customHeight="1">
      <c r="B31" s="1">
        <v>4</v>
      </c>
      <c r="C31" s="1">
        <v>4</v>
      </c>
      <c r="D31" s="1025"/>
      <c r="E31" s="577"/>
      <c r="F31" s="1061" t="s">
        <v>1335</v>
      </c>
      <c r="G31" s="2900" t="s">
        <v>3399</v>
      </c>
      <c r="H31" s="3053"/>
      <c r="I31" s="3053"/>
      <c r="J31" s="3053"/>
      <c r="K31" s="3054"/>
      <c r="L31" s="3054"/>
      <c r="M31" s="3054"/>
      <c r="N31" s="3055"/>
      <c r="O31" s="1236"/>
    </row>
    <row r="32" spans="2:15" ht="39" customHeight="1">
      <c r="B32" s="1">
        <v>5</v>
      </c>
      <c r="C32" s="1">
        <v>5</v>
      </c>
      <c r="D32" s="1025"/>
      <c r="E32" s="577"/>
      <c r="F32" s="1072" t="s">
        <v>1342</v>
      </c>
      <c r="G32" s="2898" t="s">
        <v>3400</v>
      </c>
      <c r="H32" s="3056"/>
      <c r="I32" s="3056"/>
      <c r="J32" s="3056"/>
      <c r="K32" s="3057"/>
      <c r="L32" s="3057"/>
      <c r="M32" s="3057"/>
      <c r="N32" s="3058"/>
      <c r="O32" s="1236"/>
    </row>
    <row r="33" spans="2:15" ht="15.75">
      <c r="B33" s="1079">
        <v>0</v>
      </c>
      <c r="C33" s="1079">
        <v>0</v>
      </c>
      <c r="D33" s="1025"/>
      <c r="E33" s="577"/>
      <c r="F33" s="1236"/>
      <c r="G33" s="1115"/>
      <c r="H33" s="1115"/>
      <c r="I33" s="1115"/>
      <c r="J33" s="1115"/>
      <c r="K33" s="1236"/>
      <c r="L33" s="1236"/>
      <c r="M33" s="1236"/>
      <c r="N33" s="1236"/>
      <c r="O33" s="1236"/>
    </row>
    <row r="34" spans="2:15" ht="15.75">
      <c r="D34" s="1465">
        <v>1.2</v>
      </c>
      <c r="E34" s="1263" t="s">
        <v>1703</v>
      </c>
      <c r="F34" s="1272"/>
      <c r="G34" s="1163"/>
      <c r="H34" s="1273"/>
      <c r="I34" s="1273"/>
      <c r="J34" s="1273"/>
      <c r="K34" s="1272"/>
      <c r="L34" s="1272"/>
      <c r="M34" s="1272"/>
      <c r="N34" s="1272"/>
      <c r="O34" s="1274"/>
    </row>
    <row r="35" spans="2:15" ht="15.75">
      <c r="D35" s="1025"/>
      <c r="E35" s="1030"/>
      <c r="F35" s="1204" t="s">
        <v>2516</v>
      </c>
      <c r="G35" s="1116"/>
      <c r="H35" s="1165"/>
      <c r="I35" s="1145"/>
      <c r="J35" s="1119" t="str">
        <f>IF(OR(F37=0,AND(J36=0,O36=0)),$R$3,"")</f>
        <v/>
      </c>
      <c r="K35" s="1145"/>
      <c r="L35" s="1145"/>
      <c r="M35" s="1115"/>
      <c r="N35" s="1145"/>
      <c r="O35" s="1145"/>
    </row>
    <row r="36" spans="2:15" ht="16.5" thickBot="1">
      <c r="B36" s="1234" t="s">
        <v>1704</v>
      </c>
      <c r="D36" s="1025"/>
      <c r="E36" s="1030"/>
      <c r="F36" s="1185" t="s">
        <v>1768</v>
      </c>
      <c r="G36" s="1043"/>
      <c r="H36" s="1044"/>
      <c r="I36" s="1045" t="s">
        <v>1484</v>
      </c>
      <c r="J36" s="1046">
        <f>重み!M68</f>
        <v>0.33333333333333331</v>
      </c>
      <c r="K36" s="1186"/>
      <c r="L36" s="1188"/>
      <c r="M36" s="1189" t="s">
        <v>2123</v>
      </c>
      <c r="N36" s="1045" t="s">
        <v>1484</v>
      </c>
      <c r="O36" s="1047">
        <f>重み!N68</f>
        <v>0</v>
      </c>
    </row>
    <row r="37" spans="2:15" ht="16.5" thickBot="1">
      <c r="D37" s="1025"/>
      <c r="E37" s="1030"/>
      <c r="F37" s="1049">
        <v>3</v>
      </c>
      <c r="G37" s="1166" t="s">
        <v>1990</v>
      </c>
      <c r="H37" s="1055"/>
      <c r="I37" s="1171" t="s">
        <v>1705</v>
      </c>
      <c r="J37" s="1190"/>
      <c r="K37" s="1190" t="s">
        <v>493</v>
      </c>
      <c r="L37" s="1191" t="s">
        <v>541</v>
      </c>
      <c r="M37" s="1049">
        <v>3</v>
      </c>
      <c r="N37" s="1166" t="s">
        <v>998</v>
      </c>
      <c r="O37" s="1192"/>
    </row>
    <row r="38" spans="2:15" ht="15.75">
      <c r="B38" s="1">
        <v>1</v>
      </c>
      <c r="C38" s="1">
        <v>1</v>
      </c>
      <c r="D38" s="1025"/>
      <c r="E38" s="1030"/>
      <c r="F38" s="1056" t="str">
        <f>IF(F37=$S$15,$T$10,IF(ROUNDDOWN(F37,0)=$S$10,$U$10,$T$10))</f>
        <v>　レベル　1</v>
      </c>
      <c r="G38" s="2896" t="s">
        <v>1647</v>
      </c>
      <c r="H38" s="2914"/>
      <c r="I38" s="2900" t="s">
        <v>1647</v>
      </c>
      <c r="J38" s="2947"/>
      <c r="K38" s="1194" t="s">
        <v>2184</v>
      </c>
      <c r="L38" s="1194" t="s">
        <v>497</v>
      </c>
      <c r="M38" s="1056" t="str">
        <f>IF(M37=$S$15,$T$10,IF(ROUNDDOWN(M37,0)=$S$10,$U$10,$T$10))</f>
        <v>　レベル　1</v>
      </c>
      <c r="N38" s="2900" t="s">
        <v>1647</v>
      </c>
      <c r="O38" s="2947"/>
    </row>
    <row r="39" spans="2:15" ht="32.25" customHeight="1">
      <c r="B39" s="1">
        <v>2</v>
      </c>
      <c r="C39" s="1" t="s">
        <v>3107</v>
      </c>
      <c r="D39" s="1025"/>
      <c r="E39" s="1030"/>
      <c r="F39" s="1061" t="str">
        <f>IF(F37=$S$15,$T$11,IF(ROUNDDOWN(F37,0)=$S$11,$U$11,$T$11))</f>
        <v>　レベル　2</v>
      </c>
      <c r="G39" s="2900" t="s">
        <v>2365</v>
      </c>
      <c r="H39" s="2901"/>
      <c r="I39" s="2900" t="s">
        <v>2365</v>
      </c>
      <c r="J39" s="2947"/>
      <c r="K39" s="1244" t="s">
        <v>2927</v>
      </c>
      <c r="L39" s="1064" t="s">
        <v>387</v>
      </c>
      <c r="M39" s="1061" t="str">
        <f>IF(M37=$S$15,$T$11,IF(ROUNDDOWN(M37,0)=$S$11,$U$11,$T$11))</f>
        <v>　レベル　2</v>
      </c>
      <c r="N39" s="2900" t="s">
        <v>2365</v>
      </c>
      <c r="O39" s="2947"/>
    </row>
    <row r="40" spans="2:15" ht="57" customHeight="1">
      <c r="B40" s="1">
        <v>3</v>
      </c>
      <c r="C40" s="1">
        <v>3</v>
      </c>
      <c r="D40" s="1025"/>
      <c r="E40" s="1030"/>
      <c r="F40" s="1061" t="str">
        <f>IF(F37=$S$15,$T$12,IF(ROUNDDOWN(F37,0)=$S$12,$U$12,$T$12))</f>
        <v>■レベル　3</v>
      </c>
      <c r="G40" s="2900" t="s">
        <v>3069</v>
      </c>
      <c r="H40" s="2901"/>
      <c r="I40" s="2900" t="s">
        <v>3070</v>
      </c>
      <c r="J40" s="2947"/>
      <c r="K40" s="1244" t="s">
        <v>2928</v>
      </c>
      <c r="L40" s="1064" t="s">
        <v>1003</v>
      </c>
      <c r="M40" s="1061" t="str">
        <f>IF(M37=$S$15,$T$12,IF(ROUNDDOWN(M37,0)=$S$12,$U$12,$T$12))</f>
        <v>■レベル　3</v>
      </c>
      <c r="N40" s="2900" t="s">
        <v>3071</v>
      </c>
      <c r="O40" s="2947"/>
    </row>
    <row r="41" spans="2:15" ht="57" customHeight="1">
      <c r="B41" s="1">
        <v>4</v>
      </c>
      <c r="C41" s="1">
        <v>4</v>
      </c>
      <c r="D41" s="1025"/>
      <c r="E41" s="1030"/>
      <c r="F41" s="1061" t="str">
        <f>IF(F37=$S$15,$T$13,IF(ROUNDDOWN(F37,0)=$S$13,$U$13,$T$13))</f>
        <v>　レベル　4</v>
      </c>
      <c r="G41" s="2900" t="s">
        <v>3072</v>
      </c>
      <c r="H41" s="2901"/>
      <c r="I41" s="2900" t="s">
        <v>3073</v>
      </c>
      <c r="J41" s="2947"/>
      <c r="K41" s="1244" t="s">
        <v>2929</v>
      </c>
      <c r="L41" s="1064" t="s">
        <v>387</v>
      </c>
      <c r="M41" s="1061" t="str">
        <f>IF(M37=$S$15,$T$13,IF(ROUNDDOWN(M37,0)=$S$13,$U$13,$T$13))</f>
        <v>　レベル　4</v>
      </c>
      <c r="N41" s="2900" t="s">
        <v>3074</v>
      </c>
      <c r="O41" s="2947"/>
    </row>
    <row r="42" spans="2:15" ht="57" customHeight="1">
      <c r="B42" s="1">
        <v>5</v>
      </c>
      <c r="C42" s="1">
        <v>5</v>
      </c>
      <c r="D42" s="1025"/>
      <c r="E42" s="1030"/>
      <c r="F42" s="1072" t="str">
        <f>IF(F37=$S$15,$T$14,IF(ROUNDDOWN(F37,0)=$S$14,$U$14,$T$14))</f>
        <v>　レベル　5</v>
      </c>
      <c r="G42" s="2898" t="s">
        <v>1405</v>
      </c>
      <c r="H42" s="2899"/>
      <c r="I42" s="2898" t="s">
        <v>1406</v>
      </c>
      <c r="J42" s="2899"/>
      <c r="K42" s="1275" t="s">
        <v>2930</v>
      </c>
      <c r="L42" s="1073" t="s">
        <v>1004</v>
      </c>
      <c r="M42" s="1072" t="str">
        <f>IF(M37=$S$15,$T$14,IF(ROUNDDOWN(M37,0)=$S$14,$U$14,$T$14))</f>
        <v>　レベル　5</v>
      </c>
      <c r="N42" s="2898" t="s">
        <v>1407</v>
      </c>
      <c r="O42" s="2899"/>
    </row>
    <row r="43" spans="2:15" ht="15.75">
      <c r="B43" s="1079">
        <v>0</v>
      </c>
      <c r="C43" s="1079">
        <v>0</v>
      </c>
      <c r="D43" s="1025"/>
      <c r="E43" s="577"/>
      <c r="F43" s="1236"/>
      <c r="G43" s="1115"/>
      <c r="H43" s="1182"/>
      <c r="I43" s="1182"/>
      <c r="J43" s="1182"/>
      <c r="K43" s="1236"/>
      <c r="L43" s="1236"/>
      <c r="M43" s="1236"/>
      <c r="N43" s="1236"/>
      <c r="O43" s="1236"/>
    </row>
    <row r="44" spans="2:15" ht="15.75">
      <c r="D44" s="1025"/>
      <c r="E44" s="1179"/>
      <c r="F44" s="1204" t="s">
        <v>1408</v>
      </c>
      <c r="G44" s="1116"/>
      <c r="H44" s="1165"/>
      <c r="I44" s="1145"/>
      <c r="J44" s="1119" t="str">
        <f>IF(OR(F46=0,J45=0),$R$3,"")</f>
        <v/>
      </c>
      <c r="K44" s="1145"/>
      <c r="L44" s="1145"/>
      <c r="M44" s="1081"/>
      <c r="N44" s="1081"/>
      <c r="O44" s="1081"/>
    </row>
    <row r="45" spans="2:15" ht="16.5" thickBot="1">
      <c r="D45" s="1025"/>
      <c r="E45" s="1179"/>
      <c r="F45" s="1185" t="s">
        <v>1216</v>
      </c>
      <c r="G45" s="1043"/>
      <c r="H45" s="1044"/>
      <c r="I45" s="1045" t="s">
        <v>1484</v>
      </c>
      <c r="J45" s="1046">
        <f>重み!M69</f>
        <v>0.33333333333333331</v>
      </c>
      <c r="K45" s="1043"/>
      <c r="L45" s="1044"/>
      <c r="M45" s="1043"/>
      <c r="N45" s="1150"/>
      <c r="O45" s="1081"/>
    </row>
    <row r="46" spans="2:15" ht="16.5" thickBot="1">
      <c r="D46" s="1025"/>
      <c r="E46" s="1179"/>
      <c r="F46" s="1049">
        <v>3</v>
      </c>
      <c r="G46" s="1271" t="s">
        <v>1990</v>
      </c>
      <c r="H46" s="1191"/>
      <c r="I46" s="1191"/>
      <c r="J46" s="1171"/>
      <c r="K46" s="1271" t="s">
        <v>2931</v>
      </c>
      <c r="L46" s="1191"/>
      <c r="M46" s="1191"/>
      <c r="N46" s="1171"/>
      <c r="O46" s="1081"/>
    </row>
    <row r="47" spans="2:15" ht="15.75" customHeight="1">
      <c r="B47" s="1" t="s">
        <v>1139</v>
      </c>
      <c r="C47" s="1">
        <v>1</v>
      </c>
      <c r="D47" s="1025"/>
      <c r="E47" s="1276"/>
      <c r="F47" s="1056" t="str">
        <f>IF(F46=$S$15,$T$10,IF(ROUNDDOWN(F46,0)=$S$10,$U$10,$T$10))</f>
        <v>　レベル　1</v>
      </c>
      <c r="G47" s="2896" t="s">
        <v>1957</v>
      </c>
      <c r="H47" s="2916"/>
      <c r="I47" s="2916"/>
      <c r="J47" s="2902"/>
      <c r="K47" s="2896" t="s">
        <v>387</v>
      </c>
      <c r="L47" s="2897"/>
      <c r="M47" s="2897"/>
      <c r="N47" s="2914"/>
      <c r="O47" s="1081"/>
    </row>
    <row r="48" spans="2:15" ht="15.75" customHeight="1">
      <c r="B48" s="1">
        <v>2</v>
      </c>
      <c r="C48" s="1">
        <v>2</v>
      </c>
      <c r="D48" s="1025"/>
      <c r="E48" s="1276"/>
      <c r="F48" s="1061" t="str">
        <f>IF(F46=$S$15,$T$11,IF(ROUNDDOWN(F46,0)=$S$11,$U$11,$T$11))</f>
        <v>　レベル　2</v>
      </c>
      <c r="G48" s="2900" t="s">
        <v>26</v>
      </c>
      <c r="H48" s="2917"/>
      <c r="I48" s="2917"/>
      <c r="J48" s="2943"/>
      <c r="K48" s="2900" t="s">
        <v>29</v>
      </c>
      <c r="L48" s="2906"/>
      <c r="M48" s="2906"/>
      <c r="N48" s="2901"/>
      <c r="O48" s="1081"/>
    </row>
    <row r="49" spans="2:15" ht="15.75" customHeight="1">
      <c r="B49" s="1">
        <v>3</v>
      </c>
      <c r="C49" s="1">
        <v>3</v>
      </c>
      <c r="D49" s="1025"/>
      <c r="E49" s="1276"/>
      <c r="F49" s="1061" t="str">
        <f>IF(F46=$S$15,$T$12,IF(ROUNDDOWN(F46,0)=$S$12,$U$12,$T$12))</f>
        <v>■レベル　3</v>
      </c>
      <c r="G49" s="2900" t="s">
        <v>409</v>
      </c>
      <c r="H49" s="2917"/>
      <c r="I49" s="2917"/>
      <c r="J49" s="2943"/>
      <c r="K49" s="2900" t="s">
        <v>1410</v>
      </c>
      <c r="L49" s="2906"/>
      <c r="M49" s="2906"/>
      <c r="N49" s="2901"/>
      <c r="O49" s="1081"/>
    </row>
    <row r="50" spans="2:15" ht="13.5" customHeight="1">
      <c r="B50" s="1">
        <v>4</v>
      </c>
      <c r="C50" s="1">
        <v>4</v>
      </c>
      <c r="D50" s="1025"/>
      <c r="E50" s="1276"/>
      <c r="F50" s="1061" t="str">
        <f>IF(F46=$S$15,$T$13,IF(ROUNDDOWN(F46,0)=$S$13,$U$13,$T$13))</f>
        <v>　レベル　4</v>
      </c>
      <c r="G50" s="2900" t="s">
        <v>27</v>
      </c>
      <c r="H50" s="2917"/>
      <c r="I50" s="2917"/>
      <c r="J50" s="2943"/>
      <c r="K50" s="2900" t="s">
        <v>1411</v>
      </c>
      <c r="L50" s="2906"/>
      <c r="M50" s="2906"/>
      <c r="N50" s="2901"/>
      <c r="O50" s="1081"/>
    </row>
    <row r="51" spans="2:15" ht="13.5" customHeight="1">
      <c r="B51" s="1">
        <v>5</v>
      </c>
      <c r="C51" s="1">
        <v>5</v>
      </c>
      <c r="D51" s="1025"/>
      <c r="E51" s="1276"/>
      <c r="F51" s="1072" t="str">
        <f>IF(F46=$S$15,$T$14,IF(ROUNDDOWN(F46,0)=$S$14,$U$14,$T$14))</f>
        <v>　レベル　5</v>
      </c>
      <c r="G51" s="2898" t="s">
        <v>28</v>
      </c>
      <c r="H51" s="2922"/>
      <c r="I51" s="2922"/>
      <c r="J51" s="2928"/>
      <c r="K51" s="2898" t="s">
        <v>1412</v>
      </c>
      <c r="L51" s="2905"/>
      <c r="M51" s="2905"/>
      <c r="N51" s="2899"/>
      <c r="O51" s="1081"/>
    </row>
    <row r="52" spans="2:15" ht="15.75">
      <c r="B52" s="1079">
        <v>0</v>
      </c>
      <c r="C52" s="1079">
        <v>0</v>
      </c>
      <c r="D52" s="1025"/>
      <c r="E52" s="577"/>
      <c r="F52" s="1180"/>
      <c r="G52" s="1115"/>
      <c r="H52" s="1115"/>
      <c r="I52" s="1115"/>
      <c r="J52" s="1115"/>
      <c r="K52" s="1236"/>
      <c r="L52" s="1236"/>
      <c r="M52" s="1236"/>
      <c r="N52" s="1236"/>
      <c r="O52" s="1236"/>
    </row>
    <row r="53" spans="2:15" ht="15.75">
      <c r="D53" s="1025"/>
      <c r="E53" s="577"/>
      <c r="F53" s="1204" t="s">
        <v>2932</v>
      </c>
      <c r="G53" s="1116"/>
      <c r="H53" s="1165"/>
      <c r="I53" s="1145"/>
      <c r="J53" s="1119" t="str">
        <f>IF(OR(F55=0,AND(J54=0,O54=0)),$R$3,"")</f>
        <v/>
      </c>
      <c r="K53" s="1204"/>
      <c r="L53" s="1116"/>
      <c r="M53" s="1165"/>
      <c r="N53" s="1145"/>
      <c r="O53" s="1119"/>
    </row>
    <row r="54" spans="2:15" ht="16.5" thickBot="1">
      <c r="D54" s="1025"/>
      <c r="E54" s="577"/>
      <c r="F54" s="1042" t="s">
        <v>3090</v>
      </c>
      <c r="G54" s="1043"/>
      <c r="H54" s="1044"/>
      <c r="I54" s="1045" t="s">
        <v>1484</v>
      </c>
      <c r="J54" s="1048">
        <f>重み!M70</f>
        <v>0.33333333333333331</v>
      </c>
      <c r="K54" s="1042" t="s">
        <v>2123</v>
      </c>
      <c r="L54" s="1043"/>
      <c r="M54" s="1044"/>
      <c r="N54" s="1045" t="s">
        <v>1484</v>
      </c>
      <c r="O54" s="1048">
        <f>重み!N70</f>
        <v>0</v>
      </c>
    </row>
    <row r="55" spans="2:15" ht="16.5" thickBot="1">
      <c r="D55" s="1025"/>
      <c r="E55" s="577"/>
      <c r="F55" s="1120">
        <f>IF(J54=0,0,F63)</f>
        <v>3</v>
      </c>
      <c r="G55" s="1166" t="s">
        <v>1632</v>
      </c>
      <c r="H55" s="1054"/>
      <c r="I55" s="1054"/>
      <c r="J55" s="1055"/>
      <c r="K55" s="1120">
        <f>IF(O54=0,0,K63)</f>
        <v>0</v>
      </c>
      <c r="L55" s="1166" t="s">
        <v>998</v>
      </c>
      <c r="M55" s="1055"/>
      <c r="N55" s="1166"/>
      <c r="O55" s="1171"/>
    </row>
    <row r="56" spans="2:15" ht="15.75">
      <c r="B56" s="1">
        <v>1</v>
      </c>
      <c r="C56" s="1">
        <v>1</v>
      </c>
      <c r="D56" s="1025"/>
      <c r="E56" s="577"/>
      <c r="F56" s="1056" t="str">
        <f>IF(F55=$S$15,$T$10,IF(ROUNDDOWN(F55,0)=$S$10,$U$10,$T$10))</f>
        <v>　レベル　1</v>
      </c>
      <c r="G56" s="2896" t="s">
        <v>457</v>
      </c>
      <c r="H56" s="2916"/>
      <c r="I56" s="2916"/>
      <c r="J56" s="2902"/>
      <c r="K56" s="1056" t="str">
        <f>IF(K55=$S$15,$T$10,IF(ROUNDDOWN(K55,0)=$S$10,$U$10,$T$10))</f>
        <v>　レベル　1</v>
      </c>
      <c r="L56" s="2896" t="s">
        <v>457</v>
      </c>
      <c r="M56" s="2916"/>
      <c r="N56" s="2916"/>
      <c r="O56" s="2902"/>
    </row>
    <row r="57" spans="2:15" ht="15.75">
      <c r="B57" s="1" t="s">
        <v>2364</v>
      </c>
      <c r="C57" s="1" t="s">
        <v>2364</v>
      </c>
      <c r="D57" s="1025"/>
      <c r="E57" s="577"/>
      <c r="F57" s="1061" t="str">
        <f>IF(F55=$S$15,$T$11,IF(ROUNDDOWN(F55,0)=$S$11,$U$11,$T$11))</f>
        <v>　レベル　2</v>
      </c>
      <c r="G57" s="2900" t="s">
        <v>2365</v>
      </c>
      <c r="H57" s="2906"/>
      <c r="I57" s="2906"/>
      <c r="J57" s="2901"/>
      <c r="K57" s="1061" t="str">
        <f>IF(K55=$S$15,$T$11,IF(ROUNDDOWN(K55,0)=$S$11,$U$11,$T$11))</f>
        <v>　レベル　2</v>
      </c>
      <c r="L57" s="2933" t="s">
        <v>2365</v>
      </c>
      <c r="M57" s="2934"/>
      <c r="N57" s="2934"/>
      <c r="O57" s="2935"/>
    </row>
    <row r="58" spans="2:15" ht="15.75">
      <c r="B58" s="1">
        <v>3</v>
      </c>
      <c r="C58" s="1">
        <v>3</v>
      </c>
      <c r="D58" s="1025"/>
      <c r="E58" s="577"/>
      <c r="F58" s="1061" t="str">
        <f>IF(F55=$S$15,$T$12,IF(ROUNDDOWN(F55,0)=$S$12,$U$12,$T$12))</f>
        <v>■レベル　3</v>
      </c>
      <c r="G58" s="2900" t="s">
        <v>1413</v>
      </c>
      <c r="H58" s="2906"/>
      <c r="I58" s="2906"/>
      <c r="J58" s="2901"/>
      <c r="K58" s="1061" t="str">
        <f>IF(K55=$S$15,$T$12,IF(ROUNDDOWN(K55,0)=$S$12,$U$12,$T$12))</f>
        <v>　レベル　3</v>
      </c>
      <c r="L58" s="2933" t="s">
        <v>1413</v>
      </c>
      <c r="M58" s="2934"/>
      <c r="N58" s="2934"/>
      <c r="O58" s="2935"/>
    </row>
    <row r="59" spans="2:15" ht="15.75">
      <c r="B59" s="1">
        <v>4</v>
      </c>
      <c r="C59" s="1">
        <v>4</v>
      </c>
      <c r="D59" s="1025"/>
      <c r="E59" s="577"/>
      <c r="F59" s="1061" t="str">
        <f>IF(F55=$S$15,$T$13,IF(ROUNDDOWN(F55,0)=$S$13,$U$13,$T$13))</f>
        <v>　レベル　4</v>
      </c>
      <c r="G59" s="2900" t="s">
        <v>1414</v>
      </c>
      <c r="H59" s="2906"/>
      <c r="I59" s="2906"/>
      <c r="J59" s="2901"/>
      <c r="K59" s="1061" t="str">
        <f>IF(K55=$S$15,$T$13,IF(ROUNDDOWN(K55,0)=$S$13,$U$13,$T$13))</f>
        <v>　レベル　4</v>
      </c>
      <c r="L59" s="2933" t="s">
        <v>1414</v>
      </c>
      <c r="M59" s="2934"/>
      <c r="N59" s="2934"/>
      <c r="O59" s="2935"/>
    </row>
    <row r="60" spans="2:15" ht="15.75">
      <c r="B60" s="1">
        <v>5</v>
      </c>
      <c r="C60" s="1">
        <v>5</v>
      </c>
      <c r="D60" s="1025"/>
      <c r="E60" s="577"/>
      <c r="F60" s="1072" t="str">
        <f>IF(F55=$S$15,$T$14,IF(ROUNDDOWN(F55,0)=$S$14,$U$14,$T$14))</f>
        <v>　レベル　5</v>
      </c>
      <c r="G60" s="2898" t="s">
        <v>1415</v>
      </c>
      <c r="H60" s="2905"/>
      <c r="I60" s="2905"/>
      <c r="J60" s="2899"/>
      <c r="K60" s="1072" t="str">
        <f>IF(K55=$S$15,$T$14,IF(ROUNDDOWN(K55,0)=$S$14,$U$14,$T$14))</f>
        <v>　レベル　5</v>
      </c>
      <c r="L60" s="2925" t="s">
        <v>1415</v>
      </c>
      <c r="M60" s="2944"/>
      <c r="N60" s="2944"/>
      <c r="O60" s="2945"/>
    </row>
    <row r="61" spans="2:15" ht="16.5" thickBot="1">
      <c r="B61" s="1079">
        <v>0</v>
      </c>
      <c r="C61" s="1079">
        <v>0</v>
      </c>
      <c r="D61" s="1025"/>
      <c r="E61" s="577"/>
      <c r="F61" s="1277" t="s">
        <v>2933</v>
      </c>
      <c r="G61" s="1081"/>
      <c r="H61" s="1236"/>
      <c r="I61" s="1236"/>
      <c r="J61" s="1236"/>
      <c r="K61" s="1236"/>
      <c r="L61" s="1236"/>
      <c r="M61" s="1236"/>
      <c r="N61" s="1156"/>
      <c r="O61" s="1156"/>
    </row>
    <row r="62" spans="2:15" ht="16.5" thickBot="1">
      <c r="D62" s="1025"/>
      <c r="E62" s="1025"/>
      <c r="F62" s="1049">
        <v>3</v>
      </c>
      <c r="G62" s="1278" t="s">
        <v>2921</v>
      </c>
      <c r="H62" s="1279"/>
      <c r="I62" s="1280"/>
      <c r="J62" s="1160"/>
      <c r="K62" s="1049">
        <v>3</v>
      </c>
      <c r="L62" s="1278" t="s">
        <v>2921</v>
      </c>
      <c r="M62" s="1279"/>
      <c r="N62" s="1280"/>
      <c r="O62" s="1160"/>
    </row>
    <row r="63" spans="2:15" ht="16.5" thickBot="1">
      <c r="D63" s="1025"/>
      <c r="E63" s="1025"/>
      <c r="F63" s="1281">
        <f>IF(H62=$T$4,F62,IF(COUNTIF(F64:F67,"○")&lt;2,1,IF(COUNTIF(F64:F67,"○")=2,3,IF(COUNTIF(F64:F67,"○")=3,4,IF(COUNTIF(F64:F67,"○")=4,5)))))</f>
        <v>3</v>
      </c>
      <c r="G63" s="610" t="s">
        <v>1718</v>
      </c>
      <c r="H63" s="1282"/>
      <c r="I63" s="1282"/>
      <c r="J63" s="1282"/>
      <c r="K63" s="1281">
        <f>IF(M62=$T$4,K62,IF(COUNTIF(K64:K67,"○")&lt;2,1,IF(COUNTIF(K64:K67,"○")=2,3,IF(COUNTIF(K64:K67,"○")=3,4,IF(COUNTIF(K64:K67,"○")=4,5)))))</f>
        <v>3</v>
      </c>
      <c r="L63" s="610" t="s">
        <v>1416</v>
      </c>
      <c r="M63" s="1282"/>
      <c r="N63" s="1282"/>
      <c r="O63" s="1283"/>
    </row>
    <row r="64" spans="2:15" ht="48.75" customHeight="1">
      <c r="D64" s="1025"/>
      <c r="E64" s="577"/>
      <c r="F64" s="1144" t="s">
        <v>2926</v>
      </c>
      <c r="G64" s="2985" t="s">
        <v>2934</v>
      </c>
      <c r="H64" s="3004"/>
      <c r="I64" s="3004"/>
      <c r="J64" s="3005"/>
      <c r="K64" s="1144" t="s">
        <v>2926</v>
      </c>
      <c r="L64" s="2985" t="s">
        <v>2935</v>
      </c>
      <c r="M64" s="3004"/>
      <c r="N64" s="3004"/>
      <c r="O64" s="3005"/>
    </row>
    <row r="65" spans="2:15" ht="65.25" customHeight="1">
      <c r="D65" s="1025"/>
      <c r="E65" s="577"/>
      <c r="F65" s="1146" t="s">
        <v>2926</v>
      </c>
      <c r="G65" s="2985" t="s">
        <v>2167</v>
      </c>
      <c r="H65" s="2986"/>
      <c r="I65" s="2986"/>
      <c r="J65" s="2908"/>
      <c r="K65" s="1146" t="s">
        <v>2926</v>
      </c>
      <c r="L65" s="2985" t="s">
        <v>2167</v>
      </c>
      <c r="M65" s="2986"/>
      <c r="N65" s="2986"/>
      <c r="O65" s="2908"/>
    </row>
    <row r="66" spans="2:15" ht="54" customHeight="1">
      <c r="D66" s="1025"/>
      <c r="E66" s="577"/>
      <c r="F66" s="1146"/>
      <c r="G66" s="2985" t="s">
        <v>1436</v>
      </c>
      <c r="H66" s="2986"/>
      <c r="I66" s="2986"/>
      <c r="J66" s="2908"/>
      <c r="K66" s="1146" t="s">
        <v>2923</v>
      </c>
      <c r="L66" s="2985" t="s">
        <v>1436</v>
      </c>
      <c r="M66" s="2986"/>
      <c r="N66" s="2986"/>
      <c r="O66" s="2908"/>
    </row>
    <row r="67" spans="2:15" ht="48.75" customHeight="1" thickBot="1">
      <c r="D67" s="1025"/>
      <c r="E67" s="577"/>
      <c r="F67" s="1153"/>
      <c r="G67" s="2985" t="s">
        <v>1417</v>
      </c>
      <c r="H67" s="2986"/>
      <c r="I67" s="2986"/>
      <c r="J67" s="2908"/>
      <c r="K67" s="1153" t="s">
        <v>2923</v>
      </c>
      <c r="L67" s="2985" t="s">
        <v>1417</v>
      </c>
      <c r="M67" s="2986"/>
      <c r="N67" s="2986"/>
      <c r="O67" s="2908"/>
    </row>
    <row r="68" spans="2:15" ht="15.75">
      <c r="D68" s="1025"/>
      <c r="E68" s="577"/>
      <c r="F68" s="1236"/>
      <c r="G68" s="1115"/>
      <c r="H68" s="1115"/>
      <c r="I68" s="1115"/>
      <c r="J68" s="1115"/>
      <c r="K68" s="1160"/>
      <c r="L68" s="1160"/>
      <c r="M68" s="1081"/>
      <c r="N68" s="1081"/>
      <c r="O68" s="1081"/>
    </row>
    <row r="69" spans="2:15" ht="15.75">
      <c r="D69" s="1465">
        <v>1.3</v>
      </c>
      <c r="E69" s="1263" t="s">
        <v>1</v>
      </c>
      <c r="F69" s="1272"/>
      <c r="G69" s="1163"/>
      <c r="H69" s="1273"/>
      <c r="I69" s="1273"/>
      <c r="J69" s="1273"/>
      <c r="K69" s="1272"/>
      <c r="L69" s="1272"/>
      <c r="M69" s="1284"/>
      <c r="N69" s="1284"/>
      <c r="O69" s="1284"/>
    </row>
    <row r="70" spans="2:15" ht="15.75">
      <c r="D70" s="1025"/>
      <c r="E70" s="577"/>
      <c r="F70" s="1204" t="s">
        <v>1437</v>
      </c>
      <c r="G70" s="1116"/>
      <c r="H70" s="1165"/>
      <c r="I70" s="1145"/>
      <c r="J70" s="1119" t="str">
        <f>IF(OR(F72=0,J71=0),$R$3,"")</f>
        <v/>
      </c>
      <c r="K70" s="1284"/>
      <c r="L70" s="1163"/>
      <c r="M70" s="1284"/>
      <c r="N70" s="1284"/>
      <c r="O70" s="1284"/>
    </row>
    <row r="71" spans="2:15" ht="16.5" thickBot="1">
      <c r="D71" s="1551"/>
      <c r="E71" s="1263"/>
      <c r="F71" s="1185" t="s">
        <v>1438</v>
      </c>
      <c r="G71" s="1043"/>
      <c r="H71" s="1044"/>
      <c r="I71" s="1045" t="s">
        <v>1484</v>
      </c>
      <c r="J71" s="1046">
        <f>重み!M72</f>
        <v>0.5</v>
      </c>
      <c r="K71" s="1186"/>
      <c r="L71" s="1045" t="s">
        <v>1439</v>
      </c>
      <c r="M71" s="1285">
        <f>メイン!$J$66</f>
        <v>3000</v>
      </c>
      <c r="N71" s="1286" t="s">
        <v>1440</v>
      </c>
      <c r="O71" s="1287"/>
    </row>
    <row r="72" spans="2:15" ht="16.5" thickBot="1">
      <c r="B72" s="1288" t="s">
        <v>1441</v>
      </c>
      <c r="C72">
        <f>IF(J71=0,0,IF(AND(M71&lt;2000,I95=0),F105,F96))</f>
        <v>3</v>
      </c>
      <c r="D72" s="1551"/>
      <c r="E72" s="1263"/>
      <c r="F72" s="1120">
        <f>IF(J71=0,0,F80)</f>
        <v>3</v>
      </c>
      <c r="G72" s="1166" t="s">
        <v>124</v>
      </c>
      <c r="H72" s="1054"/>
      <c r="I72" s="1054"/>
      <c r="J72" s="1055"/>
      <c r="K72" s="1054"/>
      <c r="L72" s="1054"/>
      <c r="M72" s="1055"/>
      <c r="N72" s="1289" t="s">
        <v>125</v>
      </c>
      <c r="O72" s="1171"/>
    </row>
    <row r="73" spans="2:15" ht="15.75">
      <c r="D73" s="1025"/>
      <c r="E73" s="1035"/>
      <c r="F73" s="1056" t="str">
        <f>IF(F72=$S$15,$T$10,IF(ROUNDDOWN(F72,0)=$S$10,$U$10,$T$10))</f>
        <v>　レベル　1</v>
      </c>
      <c r="G73" s="1291" t="s">
        <v>2365</v>
      </c>
      <c r="H73" s="1292"/>
      <c r="I73" s="1292"/>
      <c r="J73" s="1292"/>
      <c r="K73" s="1292"/>
      <c r="L73" s="1292"/>
      <c r="M73" s="1293"/>
      <c r="N73" s="2988"/>
      <c r="O73" s="2989"/>
    </row>
    <row r="74" spans="2:15" ht="15.75">
      <c r="D74" s="1025"/>
      <c r="E74" s="1035"/>
      <c r="F74" s="1061" t="str">
        <f>IF(F72=$S$15,$T$11,IF(ROUNDDOWN(F72,0)=$S$11,$U$11,$T$11))</f>
        <v>　レベル　2</v>
      </c>
      <c r="G74" s="1294" t="s">
        <v>126</v>
      </c>
      <c r="H74" s="1295"/>
      <c r="I74" s="1295"/>
      <c r="J74" s="1295"/>
      <c r="K74" s="1295"/>
      <c r="L74" s="1295"/>
      <c r="M74" s="1296"/>
      <c r="N74" s="2990"/>
      <c r="O74" s="2989"/>
    </row>
    <row r="75" spans="2:15" ht="15.75">
      <c r="D75" s="1025"/>
      <c r="E75" s="1035"/>
      <c r="F75" s="1061" t="str">
        <f>IF(F72=$S$15,$T$12,IF(ROUNDDOWN(F72,0)=$S$12,$U$12,$T$12))</f>
        <v>■レベル　3</v>
      </c>
      <c r="G75" s="1294" t="s">
        <v>127</v>
      </c>
      <c r="H75" s="1295"/>
      <c r="I75" s="1295"/>
      <c r="J75" s="1295"/>
      <c r="K75" s="1295"/>
      <c r="L75" s="1295"/>
      <c r="M75" s="1296"/>
      <c r="N75" s="2990"/>
      <c r="O75" s="2989"/>
    </row>
    <row r="76" spans="2:15" ht="15.75">
      <c r="D76" s="1025"/>
      <c r="E76" s="1035"/>
      <c r="F76" s="1061" t="str">
        <f>IF(F72=$S$15,$T$13,IF(ROUNDDOWN(F72,0)=$S$13,$U$13,$T$13))</f>
        <v>　レベル　4</v>
      </c>
      <c r="G76" s="1294" t="s">
        <v>128</v>
      </c>
      <c r="H76" s="1295"/>
      <c r="I76" s="1295"/>
      <c r="J76" s="1295"/>
      <c r="K76" s="1295"/>
      <c r="L76" s="1295"/>
      <c r="M76" s="1296"/>
      <c r="N76" s="2990"/>
      <c r="O76" s="2989"/>
    </row>
    <row r="77" spans="2:15" ht="15.75">
      <c r="D77" s="1025"/>
      <c r="E77" s="1035"/>
      <c r="F77" s="1072" t="str">
        <f>IF(F72=$S$15,$T$14,IF(ROUNDDOWN(F72,0)=$S$14,$U$14,$T$14))</f>
        <v>　レベル　5</v>
      </c>
      <c r="G77" s="1297" t="s">
        <v>1869</v>
      </c>
      <c r="H77" s="1298"/>
      <c r="I77" s="1298"/>
      <c r="J77" s="1298"/>
      <c r="K77" s="1298"/>
      <c r="L77" s="1298"/>
      <c r="M77" s="1299"/>
      <c r="N77" s="2991"/>
      <c r="O77" s="2992"/>
    </row>
    <row r="78" spans="2:15" ht="16.5" thickBot="1">
      <c r="B78" t="s">
        <v>858</v>
      </c>
      <c r="D78" s="1025"/>
      <c r="E78" s="1035"/>
      <c r="F78" s="1277" t="s">
        <v>2933</v>
      </c>
      <c r="G78" s="1277"/>
      <c r="H78" s="1115"/>
      <c r="I78" s="1300"/>
      <c r="J78" s="1301"/>
      <c r="K78" s="1301"/>
      <c r="L78" s="1115"/>
      <c r="M78" s="1115"/>
      <c r="N78" s="1284"/>
      <c r="O78" s="1284"/>
    </row>
    <row r="79" spans="2:15" ht="16.5" thickBot="1">
      <c r="D79" s="1025"/>
      <c r="E79" s="1025"/>
      <c r="F79" s="1049">
        <v>3</v>
      </c>
      <c r="G79" s="1278" t="s">
        <v>2921</v>
      </c>
      <c r="H79" s="1279"/>
      <c r="I79" s="1280"/>
      <c r="J79" s="1160"/>
      <c r="K79" s="1284"/>
      <c r="L79" s="1284"/>
      <c r="M79" s="1284"/>
      <c r="N79" s="1284"/>
      <c r="O79" s="1284"/>
    </row>
    <row r="80" spans="2:15" ht="16.5" thickBot="1">
      <c r="B80" s="1" t="s">
        <v>1139</v>
      </c>
      <c r="C80" s="1">
        <v>1</v>
      </c>
      <c r="D80" s="1025"/>
      <c r="E80" s="1025"/>
      <c r="F80" s="1281">
        <f>IF(H79=$T$4,F79,IF(COUNTIF(F81:F92,"○")&lt;=2,2,IF(COUNTIF(F81:F92,"○")&lt;=5,3,IF(COUNTIF(F81:F92,"○")&lt;=8,4,IF(COUNTIF(F81:F92,"○")&gt;=9,5)))))</f>
        <v>3</v>
      </c>
      <c r="G80" s="610" t="s">
        <v>1870</v>
      </c>
      <c r="H80" s="1282"/>
      <c r="I80" s="1282"/>
      <c r="J80" s="1282"/>
      <c r="K80" s="1282"/>
      <c r="L80" s="1282"/>
      <c r="M80" s="1282"/>
      <c r="N80" s="1302"/>
    </row>
    <row r="81" spans="2:15" ht="15.75">
      <c r="B81" s="1">
        <v>2</v>
      </c>
      <c r="C81" s="1">
        <v>2</v>
      </c>
      <c r="D81" s="1025"/>
      <c r="E81" s="577"/>
      <c r="F81" s="1144" t="s">
        <v>2926</v>
      </c>
      <c r="G81" s="1303" t="s">
        <v>1418</v>
      </c>
      <c r="H81" s="1304"/>
      <c r="I81" s="1304"/>
      <c r="J81" s="1304"/>
      <c r="K81" s="1304"/>
      <c r="L81" s="1304"/>
      <c r="M81" s="1304"/>
      <c r="N81" s="1305"/>
    </row>
    <row r="82" spans="2:15" ht="15.75">
      <c r="B82" s="1">
        <v>3</v>
      </c>
      <c r="C82" s="1">
        <v>3</v>
      </c>
      <c r="D82" s="1025"/>
      <c r="E82" s="577"/>
      <c r="F82" s="1146" t="s">
        <v>2926</v>
      </c>
      <c r="G82" s="1306" t="s">
        <v>1871</v>
      </c>
      <c r="H82" s="1307"/>
      <c r="I82" s="1307"/>
      <c r="J82" s="1307"/>
      <c r="K82" s="1307"/>
      <c r="L82" s="1307"/>
      <c r="M82" s="1307"/>
      <c r="N82" s="1308"/>
    </row>
    <row r="83" spans="2:15" ht="15.75">
      <c r="B83" s="1">
        <v>4</v>
      </c>
      <c r="C83" s="1">
        <v>4</v>
      </c>
      <c r="D83" s="1025"/>
      <c r="E83" s="577"/>
      <c r="F83" s="1146" t="s">
        <v>2926</v>
      </c>
      <c r="G83" s="1306" t="s">
        <v>30</v>
      </c>
      <c r="H83" s="1307"/>
      <c r="I83" s="1307"/>
      <c r="J83" s="1307"/>
      <c r="K83" s="1307"/>
      <c r="L83" s="1307"/>
      <c r="M83" s="1307"/>
      <c r="N83" s="1308"/>
    </row>
    <row r="84" spans="2:15" ht="15.75">
      <c r="B84" s="1">
        <v>5</v>
      </c>
      <c r="C84" s="1">
        <v>5</v>
      </c>
      <c r="D84" s="1025"/>
      <c r="E84" s="577"/>
      <c r="F84" s="1146"/>
      <c r="G84" s="1306" t="s">
        <v>1872</v>
      </c>
      <c r="H84" s="1307"/>
      <c r="I84" s="1307"/>
      <c r="J84" s="1307"/>
      <c r="K84" s="1307"/>
      <c r="L84" s="1307"/>
      <c r="M84" s="1307"/>
      <c r="N84" s="1308"/>
    </row>
    <row r="85" spans="2:15" ht="15.75">
      <c r="B85" s="1079">
        <v>0</v>
      </c>
      <c r="C85" s="1079">
        <v>0</v>
      </c>
      <c r="D85" s="1025"/>
      <c r="E85" s="577"/>
      <c r="F85" s="1146"/>
      <c r="G85" s="1306" t="s">
        <v>1419</v>
      </c>
      <c r="H85" s="1307"/>
      <c r="I85" s="1307"/>
      <c r="J85" s="1307"/>
      <c r="K85" s="1307"/>
      <c r="L85" s="1307"/>
      <c r="M85" s="1307"/>
      <c r="N85" s="1308"/>
    </row>
    <row r="86" spans="2:15" ht="15.75">
      <c r="D86" s="1025"/>
      <c r="E86" s="577"/>
      <c r="F86" s="1146"/>
      <c r="G86" s="1306" t="s">
        <v>1873</v>
      </c>
      <c r="H86" s="1307"/>
      <c r="I86" s="1307"/>
      <c r="J86" s="1307"/>
      <c r="K86" s="1307"/>
      <c r="L86" s="1307"/>
      <c r="M86" s="1307"/>
      <c r="N86" s="1308"/>
    </row>
    <row r="87" spans="2:15" ht="15.75">
      <c r="D87" s="1025"/>
      <c r="E87" s="577"/>
      <c r="F87" s="1146"/>
      <c r="G87" s="1306" t="s">
        <v>1420</v>
      </c>
      <c r="H87" s="1307"/>
      <c r="I87" s="1307"/>
      <c r="J87" s="1307"/>
      <c r="K87" s="1307"/>
      <c r="L87" s="1307"/>
      <c r="M87" s="1307"/>
      <c r="N87" s="1308"/>
    </row>
    <row r="88" spans="2:15" ht="15.75">
      <c r="D88" s="1025"/>
      <c r="E88" s="577"/>
      <c r="F88" s="1146"/>
      <c r="G88" s="1306" t="s">
        <v>1874</v>
      </c>
      <c r="H88" s="1307"/>
      <c r="I88" s="1307"/>
      <c r="J88" s="1307"/>
      <c r="K88" s="1307"/>
      <c r="L88" s="1307"/>
      <c r="M88" s="1307"/>
      <c r="N88" s="1308"/>
    </row>
    <row r="89" spans="2:15" ht="15.75">
      <c r="D89" s="1025"/>
      <c r="E89" s="577"/>
      <c r="F89" s="1146"/>
      <c r="G89" s="1306" t="s">
        <v>1421</v>
      </c>
      <c r="H89" s="1307"/>
      <c r="I89" s="1307"/>
      <c r="J89" s="1307"/>
      <c r="K89" s="1307"/>
      <c r="L89" s="1307"/>
      <c r="M89" s="1307"/>
      <c r="N89" s="1308"/>
    </row>
    <row r="90" spans="2:15" ht="15.75">
      <c r="D90" s="1025"/>
      <c r="E90" s="577"/>
      <c r="F90" s="1146"/>
      <c r="G90" s="1306" t="s">
        <v>1875</v>
      </c>
      <c r="H90" s="1307"/>
      <c r="I90" s="1307"/>
      <c r="J90" s="1307"/>
      <c r="K90" s="1307"/>
      <c r="L90" s="1307"/>
      <c r="M90" s="1307"/>
      <c r="N90" s="1308"/>
    </row>
    <row r="91" spans="2:15" ht="15.75">
      <c r="D91" s="1025"/>
      <c r="E91" s="577"/>
      <c r="F91" s="1146"/>
      <c r="G91" s="1306" t="s">
        <v>1876</v>
      </c>
      <c r="H91" s="1307"/>
      <c r="I91" s="1307"/>
      <c r="J91" s="1307"/>
      <c r="K91" s="1307"/>
      <c r="L91" s="1307"/>
      <c r="M91" s="1307"/>
      <c r="N91" s="1308"/>
    </row>
    <row r="92" spans="2:15" ht="16.5" thickBot="1">
      <c r="D92" s="1025"/>
      <c r="E92" s="577"/>
      <c r="F92" s="1153"/>
      <c r="G92" s="1309" t="s">
        <v>1422</v>
      </c>
      <c r="H92" s="1310"/>
      <c r="I92" s="1310"/>
      <c r="J92" s="1310"/>
      <c r="K92" s="1310"/>
      <c r="L92" s="1310"/>
      <c r="M92" s="1310"/>
      <c r="N92" s="1311"/>
    </row>
    <row r="93" spans="2:15" ht="15.75">
      <c r="D93" s="1025"/>
      <c r="E93" s="577"/>
      <c r="F93" s="1312" t="s">
        <v>1423</v>
      </c>
      <c r="G93" s="1313">
        <f>COUNTIF(F81:F92,"○")</f>
        <v>3</v>
      </c>
      <c r="H93" s="1313"/>
      <c r="I93" s="1313"/>
      <c r="J93" s="1314"/>
      <c r="K93" s="1315"/>
      <c r="L93" s="1315"/>
      <c r="M93" s="1314"/>
      <c r="N93" s="1316"/>
    </row>
    <row r="94" spans="2:15" ht="14.25" hidden="1" thickBot="1">
      <c r="B94" s="1234" t="s">
        <v>857</v>
      </c>
      <c r="F94" s="1115" t="s">
        <v>3261</v>
      </c>
      <c r="G94" s="2689"/>
      <c r="H94" s="2689"/>
      <c r="I94" s="1859"/>
      <c r="J94" s="2681"/>
      <c r="K94" s="3059" t="s">
        <v>1988</v>
      </c>
      <c r="L94" s="3060"/>
      <c r="M94" s="3061"/>
      <c r="N94" s="1115"/>
      <c r="O94" s="1284"/>
    </row>
    <row r="95" spans="2:15" ht="14.25" hidden="1" thickBot="1">
      <c r="F95" s="1281">
        <f>IF(H78=$T$4,F78,ROUND(IF(G103&lt;=2,1,IF(G103&lt;=5,2,IF(G103&lt;=8,3,IF(G103&lt;=11,4,IF(G103&gt;=12,5))))),0))</f>
        <v>3</v>
      </c>
      <c r="G95" s="1282" t="s">
        <v>1877</v>
      </c>
      <c r="H95" s="1282"/>
      <c r="I95" s="610" t="s">
        <v>3262</v>
      </c>
      <c r="J95" s="1282"/>
      <c r="K95" s="1282"/>
      <c r="L95" s="1282"/>
      <c r="M95" s="1282"/>
      <c r="N95" s="1317" t="s">
        <v>1878</v>
      </c>
      <c r="O95" s="1284"/>
    </row>
    <row r="96" spans="2:15" hidden="1">
      <c r="F96" s="1318">
        <v>3</v>
      </c>
      <c r="G96" s="1292" t="s">
        <v>3263</v>
      </c>
      <c r="H96" s="1293"/>
      <c r="I96" s="1291" t="s">
        <v>3264</v>
      </c>
      <c r="J96" s="1292"/>
      <c r="K96" s="1292"/>
      <c r="L96" s="1292"/>
      <c r="M96" s="1292"/>
      <c r="N96" s="1319">
        <v>3</v>
      </c>
      <c r="O96" s="1284"/>
    </row>
    <row r="97" spans="6:15" hidden="1">
      <c r="F97" s="1320">
        <v>1</v>
      </c>
      <c r="G97" s="2685" t="s">
        <v>3265</v>
      </c>
      <c r="H97" s="2686"/>
      <c r="I97" s="1294" t="s">
        <v>3266</v>
      </c>
      <c r="J97" s="2685"/>
      <c r="K97" s="2685"/>
      <c r="L97" s="2685"/>
      <c r="M97" s="2685"/>
      <c r="N97" s="1321">
        <v>1</v>
      </c>
      <c r="O97" s="1284"/>
    </row>
    <row r="98" spans="6:15" hidden="1">
      <c r="F98" s="1320">
        <v>3</v>
      </c>
      <c r="G98" s="2685" t="s">
        <v>3267</v>
      </c>
      <c r="H98" s="2686"/>
      <c r="I98" s="1294" t="s">
        <v>3268</v>
      </c>
      <c r="J98" s="2685"/>
      <c r="K98" s="2685"/>
      <c r="L98" s="2685"/>
      <c r="M98" s="2685"/>
      <c r="N98" s="1321">
        <v>3</v>
      </c>
      <c r="O98" s="1284"/>
    </row>
    <row r="99" spans="6:15" hidden="1">
      <c r="F99" s="1320">
        <v>0</v>
      </c>
      <c r="G99" s="2685" t="s">
        <v>3269</v>
      </c>
      <c r="H99" s="2686"/>
      <c r="I99" s="1294" t="s">
        <v>3270</v>
      </c>
      <c r="J99" s="2685"/>
      <c r="K99" s="2685"/>
      <c r="L99" s="2685"/>
      <c r="M99" s="2685"/>
      <c r="N99" s="1321">
        <v>2</v>
      </c>
      <c r="O99" s="1284"/>
    </row>
    <row r="100" spans="6:15" hidden="1">
      <c r="F100" s="1320">
        <v>0</v>
      </c>
      <c r="G100" s="2685" t="s">
        <v>3271</v>
      </c>
      <c r="H100" s="2686"/>
      <c r="I100" s="1294" t="s">
        <v>3272</v>
      </c>
      <c r="J100" s="2685"/>
      <c r="K100" s="2685"/>
      <c r="L100" s="2685"/>
      <c r="M100" s="2685"/>
      <c r="N100" s="1321">
        <v>1</v>
      </c>
      <c r="O100" s="1284"/>
    </row>
    <row r="101" spans="6:15" hidden="1">
      <c r="F101" s="1320">
        <v>0</v>
      </c>
      <c r="G101" s="2685" t="s">
        <v>3273</v>
      </c>
      <c r="H101" s="2686"/>
      <c r="I101" s="1294" t="s">
        <v>3274</v>
      </c>
      <c r="J101" s="2685"/>
      <c r="K101" s="2685"/>
      <c r="L101" s="2685"/>
      <c r="M101" s="2685"/>
      <c r="N101" s="1321">
        <v>2</v>
      </c>
      <c r="O101" s="1284"/>
    </row>
    <row r="102" spans="6:15" ht="14.25" hidden="1" thickBot="1">
      <c r="F102" s="1322">
        <v>0</v>
      </c>
      <c r="G102" s="1298" t="s">
        <v>3275</v>
      </c>
      <c r="H102" s="1299"/>
      <c r="I102" s="1297" t="s">
        <v>3276</v>
      </c>
      <c r="J102" s="1298"/>
      <c r="K102" s="1298"/>
      <c r="L102" s="1298"/>
      <c r="M102" s="1298"/>
      <c r="N102" s="2688">
        <v>1</v>
      </c>
      <c r="O102" s="1284"/>
    </row>
    <row r="103" spans="6:15" ht="14.25" hidden="1">
      <c r="F103" s="1312" t="s">
        <v>3277</v>
      </c>
      <c r="G103" s="2987">
        <f>SUM(F96:F102)</f>
        <v>7</v>
      </c>
      <c r="H103" s="2987"/>
      <c r="I103" s="2987"/>
      <c r="J103" s="2687"/>
      <c r="K103" s="1315"/>
      <c r="L103" s="2687"/>
      <c r="M103" s="1315"/>
      <c r="N103" s="1324"/>
      <c r="O103" s="1284"/>
    </row>
    <row r="104" spans="6:15" ht="14.25" hidden="1" thickBot="1">
      <c r="F104" s="1115" t="s">
        <v>3278</v>
      </c>
      <c r="G104" s="2681"/>
      <c r="H104" s="2681"/>
      <c r="I104" s="2681"/>
      <c r="J104" s="2681"/>
      <c r="K104" s="2681"/>
      <c r="L104" s="2681"/>
      <c r="M104" s="2681"/>
      <c r="N104" s="2681"/>
      <c r="O104" s="1284"/>
    </row>
    <row r="105" spans="6:15" ht="14.25" hidden="1" thickBot="1">
      <c r="F105" s="1281">
        <f>IF(H78=$T$4,F78,ROUND(IF(G112&lt;=2,1,IF(G112&lt;=5,2,IF(G112&lt;=8,3,IF(G112&lt;=11,4,IF(G112&gt;=12,5))))),0))</f>
        <v>4</v>
      </c>
      <c r="G105" s="1282" t="s">
        <v>1877</v>
      </c>
      <c r="H105" s="1282"/>
      <c r="I105" s="610" t="s">
        <v>3262</v>
      </c>
      <c r="J105" s="1282"/>
      <c r="K105" s="1282"/>
      <c r="L105" s="1282"/>
      <c r="M105" s="1282"/>
      <c r="N105" s="1317" t="s">
        <v>1878</v>
      </c>
      <c r="O105" s="1284"/>
    </row>
    <row r="106" spans="6:15" hidden="1">
      <c r="F106" s="1325">
        <v>3</v>
      </c>
      <c r="G106" s="1292" t="s">
        <v>3279</v>
      </c>
      <c r="H106" s="1293"/>
      <c r="I106" s="1291" t="s">
        <v>3280</v>
      </c>
      <c r="J106" s="1292"/>
      <c r="K106" s="1292"/>
      <c r="L106" s="1292"/>
      <c r="M106" s="1292"/>
      <c r="N106" s="1319">
        <v>3</v>
      </c>
      <c r="O106" s="1284"/>
    </row>
    <row r="107" spans="6:15" hidden="1">
      <c r="F107" s="1326">
        <v>3</v>
      </c>
      <c r="G107" s="2685" t="s">
        <v>3281</v>
      </c>
      <c r="H107" s="2686"/>
      <c r="I107" s="1294" t="s">
        <v>3282</v>
      </c>
      <c r="J107" s="2685"/>
      <c r="K107" s="2685"/>
      <c r="L107" s="2685"/>
      <c r="M107" s="2685"/>
      <c r="N107" s="1321">
        <v>3</v>
      </c>
      <c r="O107" s="1284"/>
    </row>
    <row r="108" spans="6:15" hidden="1">
      <c r="F108" s="1326">
        <v>3</v>
      </c>
      <c r="G108" s="2685" t="s">
        <v>3283</v>
      </c>
      <c r="H108" s="2686"/>
      <c r="I108" s="1294" t="s">
        <v>3284</v>
      </c>
      <c r="J108" s="2685"/>
      <c r="K108" s="2685"/>
      <c r="L108" s="2685"/>
      <c r="M108" s="2685"/>
      <c r="N108" s="1321">
        <v>3</v>
      </c>
      <c r="O108" s="1284"/>
    </row>
    <row r="109" spans="6:15" hidden="1">
      <c r="F109" s="1326">
        <v>0</v>
      </c>
      <c r="G109" s="2685" t="s">
        <v>3285</v>
      </c>
      <c r="H109" s="2686"/>
      <c r="I109" s="1294" t="s">
        <v>3286</v>
      </c>
      <c r="J109" s="2685"/>
      <c r="K109" s="2685"/>
      <c r="L109" s="2685"/>
      <c r="M109" s="2685"/>
      <c r="N109" s="1321">
        <v>2</v>
      </c>
      <c r="O109" s="1284"/>
    </row>
    <row r="110" spans="6:15" hidden="1">
      <c r="F110" s="1326">
        <v>0</v>
      </c>
      <c r="G110" s="2685" t="s">
        <v>3287</v>
      </c>
      <c r="H110" s="2686"/>
      <c r="I110" s="1294" t="s">
        <v>3288</v>
      </c>
      <c r="J110" s="2685"/>
      <c r="K110" s="2685"/>
      <c r="L110" s="2685"/>
      <c r="M110" s="2685"/>
      <c r="N110" s="1321">
        <v>1</v>
      </c>
      <c r="O110" s="1284"/>
    </row>
    <row r="111" spans="6:15" ht="14.25" hidden="1" thickBot="1">
      <c r="F111" s="1327">
        <v>0</v>
      </c>
      <c r="G111" s="1298" t="s">
        <v>3289</v>
      </c>
      <c r="H111" s="2686"/>
      <c r="I111" s="1294" t="s">
        <v>3290</v>
      </c>
      <c r="J111" s="2685"/>
      <c r="K111" s="2685"/>
      <c r="L111" s="2685"/>
      <c r="M111" s="2685"/>
      <c r="N111" s="1321">
        <v>1</v>
      </c>
      <c r="O111" s="1284"/>
    </row>
    <row r="112" spans="6:15" ht="14.25" hidden="1">
      <c r="F112" s="1312" t="s">
        <v>3277</v>
      </c>
      <c r="G112" s="2987">
        <f>SUM(F106:F111)</f>
        <v>9</v>
      </c>
      <c r="H112" s="2987"/>
      <c r="I112" s="2987"/>
      <c r="J112" s="2687"/>
      <c r="K112" s="1315"/>
      <c r="L112" s="2687"/>
      <c r="M112" s="1315"/>
      <c r="N112" s="1324"/>
      <c r="O112" s="1284"/>
    </row>
    <row r="113" spans="2:15" ht="15.75">
      <c r="D113" s="1025"/>
      <c r="E113" s="577"/>
      <c r="F113" s="1081"/>
      <c r="G113" s="1115"/>
      <c r="H113" s="1115"/>
      <c r="I113" s="1115"/>
      <c r="J113" s="1115"/>
      <c r="K113" s="1160"/>
      <c r="L113" s="1160"/>
      <c r="M113" s="1081"/>
      <c r="N113" s="1284"/>
      <c r="O113" s="1284"/>
    </row>
    <row r="114" spans="2:15" ht="15.75">
      <c r="D114" s="1025"/>
      <c r="E114" s="577"/>
      <c r="F114" s="1204" t="s">
        <v>1919</v>
      </c>
      <c r="G114" s="1116"/>
      <c r="H114" s="1165"/>
      <c r="I114" s="1145"/>
      <c r="J114" s="1119" t="str">
        <f>IF(OR(F116=0,J115=0),$R$3,"")</f>
        <v/>
      </c>
      <c r="K114" s="1284"/>
      <c r="L114" s="1163"/>
      <c r="M114" s="1284"/>
      <c r="N114" s="1081"/>
      <c r="O114" s="1081"/>
    </row>
    <row r="115" spans="2:15" ht="16.5" thickBot="1">
      <c r="D115" s="1551"/>
      <c r="E115" s="1263"/>
      <c r="F115" s="1185" t="s">
        <v>540</v>
      </c>
      <c r="G115" s="1043"/>
      <c r="H115" s="1044"/>
      <c r="I115" s="1045" t="s">
        <v>1484</v>
      </c>
      <c r="J115" s="1046">
        <f>重み!M73</f>
        <v>0.5</v>
      </c>
      <c r="K115" s="1186"/>
      <c r="L115" s="1045" t="s">
        <v>1439</v>
      </c>
      <c r="M115" s="1285">
        <f>メイン!$J$66</f>
        <v>3000</v>
      </c>
      <c r="N115" s="1286" t="s">
        <v>1440</v>
      </c>
      <c r="O115" s="1287"/>
    </row>
    <row r="116" spans="2:15" ht="15" thickBot="1">
      <c r="B116" s="1288" t="s">
        <v>1441</v>
      </c>
      <c r="E116" s="1263"/>
      <c r="F116" s="1120">
        <f>IF(J115=0,0,F124)</f>
        <v>3</v>
      </c>
      <c r="G116" s="1166" t="s">
        <v>1920</v>
      </c>
      <c r="H116" s="1054"/>
      <c r="I116" s="1054"/>
      <c r="J116" s="1055"/>
      <c r="K116" s="1054"/>
      <c r="L116" s="1054"/>
      <c r="M116" s="1055"/>
      <c r="N116" s="1289" t="s">
        <v>125</v>
      </c>
      <c r="O116" s="1171"/>
    </row>
    <row r="117" spans="2:15" ht="15.75">
      <c r="E117" s="1035"/>
      <c r="F117" s="1056" t="str">
        <f>IF(F116=$S$15,$T$10,IF(ROUNDDOWN(F116,0)=$S$10,$U$10,$T$10))</f>
        <v>　レベル　1</v>
      </c>
      <c r="G117" s="1065" t="s">
        <v>1426</v>
      </c>
      <c r="H117" s="1292"/>
      <c r="I117" s="1292"/>
      <c r="J117" s="1292"/>
      <c r="K117" s="1292"/>
      <c r="L117" s="1292"/>
      <c r="M117" s="1293"/>
      <c r="N117" s="2988" t="s">
        <v>2033</v>
      </c>
      <c r="O117" s="2989"/>
    </row>
    <row r="118" spans="2:15" ht="15.75">
      <c r="E118" s="1035"/>
      <c r="F118" s="1061" t="str">
        <f>IF(F116=$S$15,$T$11,IF(ROUNDDOWN(F116,0)=$S$11,$U$11,$T$11))</f>
        <v>　レベル　2</v>
      </c>
      <c r="G118" s="1065" t="s">
        <v>2034</v>
      </c>
      <c r="H118" s="1295"/>
      <c r="I118" s="1295"/>
      <c r="J118" s="1295"/>
      <c r="K118" s="1295"/>
      <c r="L118" s="1295"/>
      <c r="M118" s="1296"/>
      <c r="N118" s="2990"/>
      <c r="O118" s="2989"/>
    </row>
    <row r="119" spans="2:15" ht="15.75">
      <c r="E119" s="1035"/>
      <c r="F119" s="1061" t="str">
        <f>IF(F116=$S$15,$T$12,IF(ROUNDDOWN(F116,0)=$S$12,$U$12,$T$12))</f>
        <v>■レベル　3</v>
      </c>
      <c r="G119" s="1065" t="s">
        <v>2035</v>
      </c>
      <c r="H119" s="1295"/>
      <c r="I119" s="1295"/>
      <c r="J119" s="1295"/>
      <c r="K119" s="1295"/>
      <c r="L119" s="1295"/>
      <c r="M119" s="1296"/>
      <c r="N119" s="2990"/>
      <c r="O119" s="2989"/>
    </row>
    <row r="120" spans="2:15" ht="15.75">
      <c r="E120" s="1035"/>
      <c r="F120" s="1061" t="str">
        <f>IF(F116=$S$15,$T$13,IF(ROUNDDOWN(F116,0)=$S$13,$U$13,$T$13))</f>
        <v>　レベル　4</v>
      </c>
      <c r="G120" s="1065" t="s">
        <v>2036</v>
      </c>
      <c r="H120" s="1295"/>
      <c r="I120" s="1295"/>
      <c r="J120" s="1295"/>
      <c r="K120" s="1295"/>
      <c r="L120" s="1295"/>
      <c r="M120" s="1296"/>
      <c r="N120" s="2990"/>
      <c r="O120" s="2989"/>
    </row>
    <row r="121" spans="2:15" ht="15.75">
      <c r="E121" s="1035"/>
      <c r="F121" s="1072" t="str">
        <f>IF(F116=$S$15,$T$14,IF(ROUNDDOWN(F116,0)=$S$14,$U$14,$T$14))</f>
        <v>　レベル　5</v>
      </c>
      <c r="G121" s="1076" t="s">
        <v>2037</v>
      </c>
      <c r="H121" s="1298"/>
      <c r="I121" s="1298"/>
      <c r="J121" s="1298"/>
      <c r="K121" s="1298"/>
      <c r="L121" s="1298"/>
      <c r="M121" s="1299"/>
      <c r="N121" s="2991"/>
      <c r="O121" s="2992"/>
    </row>
    <row r="122" spans="2:15" ht="16.5" thickBot="1">
      <c r="B122" t="s">
        <v>858</v>
      </c>
      <c r="E122" s="1035"/>
      <c r="F122" s="1277" t="s">
        <v>2933</v>
      </c>
      <c r="G122" s="1277"/>
      <c r="H122" s="1115"/>
      <c r="I122" s="1300"/>
      <c r="J122" s="1301"/>
      <c r="K122" s="1301"/>
      <c r="L122" s="1115"/>
      <c r="M122" s="1115"/>
      <c r="N122" s="1115"/>
      <c r="O122" s="1115"/>
    </row>
    <row r="123" spans="2:15" ht="16.5" thickBot="1">
      <c r="D123" s="1025"/>
      <c r="E123" s="1025"/>
      <c r="F123" s="1049">
        <v>3</v>
      </c>
      <c r="G123" s="1278" t="s">
        <v>2921</v>
      </c>
      <c r="H123" s="1279"/>
      <c r="I123" s="1280"/>
      <c r="J123" s="1160"/>
      <c r="K123" s="1284"/>
      <c r="L123" s="1284"/>
      <c r="M123" s="1284"/>
      <c r="N123" s="1284"/>
      <c r="O123" s="1081"/>
    </row>
    <row r="124" spans="2:15" ht="16.5" thickBot="1">
      <c r="B124" s="1" t="s">
        <v>2364</v>
      </c>
      <c r="C124" s="1">
        <v>1</v>
      </c>
      <c r="D124" s="1025"/>
      <c r="E124" s="1025"/>
      <c r="F124" s="1281">
        <f>IF(H123=$T$4,F123,IF(G138&lt;=3,2,IF(G138&lt;=6,3,IF(G138&lt;=9,4,5))))</f>
        <v>3</v>
      </c>
      <c r="G124" s="610" t="s">
        <v>1427</v>
      </c>
      <c r="H124" s="1282"/>
      <c r="I124" s="1282"/>
      <c r="J124" s="1282"/>
      <c r="K124" s="1282"/>
      <c r="L124" s="610" t="s">
        <v>2850</v>
      </c>
      <c r="M124" s="1282"/>
      <c r="N124" s="1282"/>
      <c r="O124" s="1328"/>
    </row>
    <row r="125" spans="2:15" ht="27.75" customHeight="1">
      <c r="B125" s="1">
        <v>2</v>
      </c>
      <c r="C125" s="1">
        <v>2</v>
      </c>
      <c r="D125" s="1025"/>
      <c r="E125" s="577"/>
      <c r="F125" s="1144" t="s">
        <v>2926</v>
      </c>
      <c r="G125" s="1329" t="s">
        <v>2038</v>
      </c>
      <c r="H125" s="1330"/>
      <c r="I125" s="1330"/>
      <c r="J125" s="1330"/>
      <c r="K125" s="1330"/>
      <c r="L125" s="2918" t="s">
        <v>2851</v>
      </c>
      <c r="M125" s="2906"/>
      <c r="N125" s="2906"/>
      <c r="O125" s="2901"/>
    </row>
    <row r="126" spans="2:15" ht="27.75" customHeight="1">
      <c r="B126" s="1">
        <v>3</v>
      </c>
      <c r="C126" s="1">
        <v>3</v>
      </c>
      <c r="D126" s="1025"/>
      <c r="E126" s="577"/>
      <c r="F126" s="1146" t="s">
        <v>2926</v>
      </c>
      <c r="G126" s="1329" t="s">
        <v>2039</v>
      </c>
      <c r="H126" s="1330"/>
      <c r="I126" s="1330"/>
      <c r="J126" s="1330"/>
      <c r="K126" s="1330"/>
      <c r="L126" s="2918" t="s">
        <v>2852</v>
      </c>
      <c r="M126" s="2906"/>
      <c r="N126" s="2906"/>
      <c r="O126" s="2901"/>
    </row>
    <row r="127" spans="2:15" ht="49.5" customHeight="1">
      <c r="B127" s="1">
        <v>4</v>
      </c>
      <c r="C127" s="1">
        <v>4</v>
      </c>
      <c r="D127" s="1025"/>
      <c r="E127" s="577"/>
      <c r="F127" s="1146" t="s">
        <v>2926</v>
      </c>
      <c r="G127" s="1329" t="s">
        <v>2853</v>
      </c>
      <c r="H127" s="1330"/>
      <c r="I127" s="1330"/>
      <c r="J127" s="1330"/>
      <c r="K127" s="1330"/>
      <c r="L127" s="2918" t="s">
        <v>31</v>
      </c>
      <c r="M127" s="2906"/>
      <c r="N127" s="2906"/>
      <c r="O127" s="2901"/>
    </row>
    <row r="128" spans="2:15" ht="27.75" customHeight="1">
      <c r="B128" s="1">
        <v>5</v>
      </c>
      <c r="C128" s="1">
        <v>5</v>
      </c>
      <c r="D128" s="1025"/>
      <c r="E128" s="577"/>
      <c r="F128" s="1146" t="s">
        <v>2926</v>
      </c>
      <c r="G128" s="1329" t="s">
        <v>2854</v>
      </c>
      <c r="H128" s="1330"/>
      <c r="I128" s="1330"/>
      <c r="J128" s="1330"/>
      <c r="K128" s="1330"/>
      <c r="L128" s="2918" t="s">
        <v>2855</v>
      </c>
      <c r="M128" s="2906"/>
      <c r="N128" s="2906"/>
      <c r="O128" s="2901"/>
    </row>
    <row r="129" spans="2:15" ht="27.75" customHeight="1">
      <c r="B129" s="1079">
        <v>0</v>
      </c>
      <c r="C129" s="1079">
        <v>0</v>
      </c>
      <c r="D129" s="1025"/>
      <c r="E129" s="577"/>
      <c r="F129" s="1146"/>
      <c r="G129" s="2996" t="s">
        <v>1880</v>
      </c>
      <c r="H129" s="2934"/>
      <c r="I129" s="2934"/>
      <c r="J129" s="2934"/>
      <c r="K129" s="2935"/>
      <c r="L129" s="2918" t="s">
        <v>1881</v>
      </c>
      <c r="M129" s="2906"/>
      <c r="N129" s="2906"/>
      <c r="O129" s="2901"/>
    </row>
    <row r="130" spans="2:15" ht="27.75" customHeight="1">
      <c r="D130" s="1025"/>
      <c r="E130" s="577"/>
      <c r="F130" s="1146"/>
      <c r="G130" s="1329" t="s">
        <v>2856</v>
      </c>
      <c r="H130" s="1330"/>
      <c r="I130" s="1330"/>
      <c r="J130" s="1330"/>
      <c r="K130" s="1330"/>
      <c r="L130" s="2918" t="s">
        <v>1898</v>
      </c>
      <c r="M130" s="2906"/>
      <c r="N130" s="2906"/>
      <c r="O130" s="2901"/>
    </row>
    <row r="131" spans="2:15" ht="27.75" customHeight="1">
      <c r="D131" s="1025"/>
      <c r="E131" s="577"/>
      <c r="F131" s="1146"/>
      <c r="G131" s="2996" t="s">
        <v>787</v>
      </c>
      <c r="H131" s="2934"/>
      <c r="I131" s="2934"/>
      <c r="J131" s="2934"/>
      <c r="K131" s="2935"/>
      <c r="L131" s="2918" t="s">
        <v>788</v>
      </c>
      <c r="M131" s="2906"/>
      <c r="N131" s="2906"/>
      <c r="O131" s="2901"/>
    </row>
    <row r="132" spans="2:15" ht="27.75" customHeight="1">
      <c r="D132" s="1025"/>
      <c r="E132" s="577"/>
      <c r="F132" s="1146"/>
      <c r="G132" s="2996" t="s">
        <v>2857</v>
      </c>
      <c r="H132" s="2934"/>
      <c r="I132" s="2934"/>
      <c r="J132" s="2934"/>
      <c r="K132" s="2935"/>
      <c r="L132" s="2918" t="s">
        <v>563</v>
      </c>
      <c r="M132" s="2906"/>
      <c r="N132" s="2906"/>
      <c r="O132" s="2901"/>
    </row>
    <row r="133" spans="2:15" ht="27.75" customHeight="1">
      <c r="D133" s="1025"/>
      <c r="E133" s="577"/>
      <c r="F133" s="1146"/>
      <c r="G133" s="1329" t="s">
        <v>564</v>
      </c>
      <c r="H133" s="1330"/>
      <c r="I133" s="1330"/>
      <c r="J133" s="1330"/>
      <c r="K133" s="1330"/>
      <c r="L133" s="2918" t="s">
        <v>789</v>
      </c>
      <c r="M133" s="2906"/>
      <c r="N133" s="2906"/>
      <c r="O133" s="2901"/>
    </row>
    <row r="134" spans="2:15" ht="27.75" customHeight="1">
      <c r="D134" s="1025"/>
      <c r="E134" s="577"/>
      <c r="F134" s="1146"/>
      <c r="G134" s="1329" t="s">
        <v>565</v>
      </c>
      <c r="H134" s="1330"/>
      <c r="I134" s="1330"/>
      <c r="J134" s="1330"/>
      <c r="K134" s="1330"/>
      <c r="L134" s="2918" t="s">
        <v>134</v>
      </c>
      <c r="M134" s="2906"/>
      <c r="N134" s="2906"/>
      <c r="O134" s="2901"/>
    </row>
    <row r="135" spans="2:15" ht="27.75" customHeight="1">
      <c r="D135" s="1025"/>
      <c r="E135" s="577"/>
      <c r="F135" s="1146"/>
      <c r="G135" s="1329" t="s">
        <v>135</v>
      </c>
      <c r="H135" s="1330"/>
      <c r="I135" s="1330"/>
      <c r="J135" s="1330"/>
      <c r="K135" s="1330"/>
      <c r="L135" s="2918" t="s">
        <v>1751</v>
      </c>
      <c r="M135" s="2906"/>
      <c r="N135" s="2906"/>
      <c r="O135" s="2901"/>
    </row>
    <row r="136" spans="2:15" ht="27.75" customHeight="1">
      <c r="D136" s="1025"/>
      <c r="E136" s="577"/>
      <c r="F136" s="1146"/>
      <c r="G136" s="1329" t="s">
        <v>1752</v>
      </c>
      <c r="H136" s="1330"/>
      <c r="I136" s="1330"/>
      <c r="J136" s="1330"/>
      <c r="K136" s="1330"/>
      <c r="L136" s="2918" t="s">
        <v>1753</v>
      </c>
      <c r="M136" s="2906"/>
      <c r="N136" s="2906"/>
      <c r="O136" s="2901"/>
    </row>
    <row r="137" spans="2:15" ht="27.75" customHeight="1" thickBot="1">
      <c r="D137" s="1025"/>
      <c r="E137" s="577"/>
      <c r="F137" s="1153"/>
      <c r="G137" s="1329" t="s">
        <v>1754</v>
      </c>
      <c r="H137" s="1330"/>
      <c r="I137" s="1330"/>
      <c r="J137" s="1330"/>
      <c r="K137" s="1330"/>
      <c r="L137" s="2918" t="s">
        <v>1755</v>
      </c>
      <c r="M137" s="2906"/>
      <c r="N137" s="2906"/>
      <c r="O137" s="2901"/>
    </row>
    <row r="138" spans="2:15" ht="15.75">
      <c r="D138" s="1025"/>
      <c r="E138" s="577"/>
      <c r="F138" s="1312" t="s">
        <v>1756</v>
      </c>
      <c r="G138" s="1331">
        <f>COUNTIF(F125:F137,"○")</f>
        <v>4</v>
      </c>
      <c r="H138" s="1331"/>
      <c r="I138" s="1331"/>
      <c r="J138" s="1314"/>
      <c r="K138" s="1314"/>
      <c r="L138" s="1314"/>
      <c r="M138" s="1314"/>
      <c r="N138" s="1315"/>
      <c r="O138" s="1324"/>
    </row>
    <row r="139" spans="2:15">
      <c r="F139" s="1284"/>
      <c r="G139" s="1284"/>
      <c r="H139" s="1284"/>
      <c r="I139" s="1284"/>
      <c r="J139" s="1284"/>
      <c r="K139" s="1284"/>
      <c r="L139" s="1284"/>
      <c r="M139" s="1284"/>
      <c r="N139" s="1284"/>
      <c r="O139" s="1284"/>
    </row>
    <row r="140" spans="2:15" hidden="1">
      <c r="B140" s="1332" t="s">
        <v>790</v>
      </c>
      <c r="F140" s="1277" t="s">
        <v>2933</v>
      </c>
      <c r="G140" s="1115"/>
      <c r="H140" s="1300"/>
      <c r="I140" s="1301"/>
      <c r="J140" s="1301"/>
      <c r="K140" s="1115"/>
      <c r="L140" s="1284"/>
      <c r="M140" s="1284"/>
      <c r="N140" s="1115"/>
      <c r="O140" s="1284"/>
    </row>
    <row r="141" spans="2:15" hidden="1">
      <c r="F141" s="1333" t="s">
        <v>1757</v>
      </c>
      <c r="G141" s="2993" t="s">
        <v>791</v>
      </c>
      <c r="H141" s="2994"/>
      <c r="I141" s="2995" t="s">
        <v>792</v>
      </c>
      <c r="J141" s="2995"/>
      <c r="K141" s="2995"/>
      <c r="L141" s="2995"/>
      <c r="M141" s="2995"/>
      <c r="N141" s="1115"/>
      <c r="O141" s="1284"/>
    </row>
    <row r="142" spans="2:15" hidden="1">
      <c r="F142" s="1333" t="s">
        <v>1758</v>
      </c>
      <c r="G142" s="2993" t="s">
        <v>2195</v>
      </c>
      <c r="H142" s="2994"/>
      <c r="I142" s="2995" t="s">
        <v>767</v>
      </c>
      <c r="J142" s="2995"/>
      <c r="K142" s="2995"/>
      <c r="L142" s="2995"/>
      <c r="M142" s="2995"/>
      <c r="N142" s="1115"/>
      <c r="O142" s="1284"/>
    </row>
    <row r="143" spans="2:15" hidden="1">
      <c r="F143" s="1333" t="s">
        <v>1759</v>
      </c>
      <c r="G143" s="2993" t="s">
        <v>768</v>
      </c>
      <c r="H143" s="2994"/>
      <c r="I143" s="2995" t="s">
        <v>769</v>
      </c>
      <c r="J143" s="2995"/>
      <c r="K143" s="2995"/>
      <c r="L143" s="2995"/>
      <c r="M143" s="2995"/>
      <c r="N143" s="1115"/>
      <c r="O143" s="1284"/>
    </row>
    <row r="144" spans="2:15" ht="14.25" hidden="1" thickBot="1">
      <c r="B144" s="1234" t="s">
        <v>857</v>
      </c>
      <c r="F144" s="1115" t="s">
        <v>3261</v>
      </c>
      <c r="G144" s="2689"/>
      <c r="H144" s="2689"/>
      <c r="I144" s="3059" t="s">
        <v>1988</v>
      </c>
      <c r="J144" s="3060"/>
      <c r="K144" s="3061"/>
      <c r="L144" s="1301" t="s">
        <v>3291</v>
      </c>
      <c r="M144" s="1301"/>
      <c r="N144" s="1115"/>
      <c r="O144" s="2689"/>
    </row>
    <row r="145" spans="6:15" ht="14.25" hidden="1" thickBot="1">
      <c r="F145" s="1281">
        <f>IF(H124=$T$4,F124,ROUND(IF(G157&lt;=1,2,IF(G157&lt;=4,3,IF(G157&lt;=8,4,IF(G157&gt;=9,5)))),0))</f>
        <v>3</v>
      </c>
      <c r="G145" s="610" t="s">
        <v>1877</v>
      </c>
      <c r="H145" s="610" t="s">
        <v>3292</v>
      </c>
      <c r="I145" s="1282"/>
      <c r="J145" s="1282"/>
      <c r="K145" s="1344" t="s">
        <v>1878</v>
      </c>
      <c r="L145" s="610" t="s">
        <v>3292</v>
      </c>
      <c r="M145" s="1282"/>
      <c r="N145" s="1282"/>
      <c r="O145" s="1208" t="s">
        <v>1878</v>
      </c>
    </row>
    <row r="146" spans="6:15" ht="13.5" hidden="1" customHeight="1">
      <c r="F146" s="1325">
        <v>1</v>
      </c>
      <c r="G146" s="610" t="s">
        <v>421</v>
      </c>
      <c r="H146" s="2978" t="s">
        <v>3293</v>
      </c>
      <c r="I146" s="2979"/>
      <c r="J146" s="2980"/>
      <c r="K146" s="1344">
        <v>1</v>
      </c>
      <c r="L146" s="2978" t="s">
        <v>3294</v>
      </c>
      <c r="M146" s="2979"/>
      <c r="N146" s="2980"/>
      <c r="O146" s="2690">
        <v>1</v>
      </c>
    </row>
    <row r="147" spans="6:15" ht="13.5" hidden="1" customHeight="1">
      <c r="F147" s="1326">
        <v>3</v>
      </c>
      <c r="G147" s="1334" t="s">
        <v>422</v>
      </c>
      <c r="H147" s="2981" t="s">
        <v>3295</v>
      </c>
      <c r="I147" s="2982"/>
      <c r="J147" s="2983"/>
      <c r="K147" s="1321">
        <v>3</v>
      </c>
      <c r="L147" s="2984" t="s">
        <v>3296</v>
      </c>
      <c r="M147" s="2982"/>
      <c r="N147" s="2983"/>
      <c r="O147" s="1457" t="s">
        <v>3296</v>
      </c>
    </row>
    <row r="148" spans="6:15" ht="13.5" hidden="1" customHeight="1">
      <c r="F148" s="1326">
        <v>0</v>
      </c>
      <c r="G148" s="1335"/>
      <c r="H148" s="2984" t="s">
        <v>3297</v>
      </c>
      <c r="I148" s="2982"/>
      <c r="J148" s="2983"/>
      <c r="K148" s="1321">
        <v>3</v>
      </c>
      <c r="L148" s="2984" t="s">
        <v>3296</v>
      </c>
      <c r="M148" s="2982"/>
      <c r="N148" s="2983"/>
      <c r="O148" s="1321" t="s">
        <v>3296</v>
      </c>
    </row>
    <row r="149" spans="6:15" ht="13.5" hidden="1" customHeight="1">
      <c r="F149" s="1326">
        <v>2</v>
      </c>
      <c r="G149" s="1335"/>
      <c r="H149" s="2984" t="s">
        <v>3296</v>
      </c>
      <c r="I149" s="2982"/>
      <c r="J149" s="2983"/>
      <c r="K149" s="1321" t="s">
        <v>3296</v>
      </c>
      <c r="L149" s="2984" t="s">
        <v>3298</v>
      </c>
      <c r="M149" s="2982"/>
      <c r="N149" s="2983"/>
      <c r="O149" s="1321">
        <v>2</v>
      </c>
    </row>
    <row r="150" spans="6:15" ht="13.5" hidden="1" customHeight="1">
      <c r="F150" s="1326">
        <v>0</v>
      </c>
      <c r="G150" s="1336"/>
      <c r="H150" s="2978" t="s">
        <v>3296</v>
      </c>
      <c r="I150" s="2979"/>
      <c r="J150" s="2980"/>
      <c r="K150" s="1344" t="s">
        <v>3296</v>
      </c>
      <c r="L150" s="2978" t="s">
        <v>3299</v>
      </c>
      <c r="M150" s="2979"/>
      <c r="N150" s="2980"/>
      <c r="O150" s="1344">
        <v>1</v>
      </c>
    </row>
    <row r="151" spans="6:15" ht="13.5" hidden="1" customHeight="1">
      <c r="F151" s="1326">
        <v>0</v>
      </c>
      <c r="G151" s="1334" t="s">
        <v>423</v>
      </c>
      <c r="H151" s="3028" t="s">
        <v>3300</v>
      </c>
      <c r="I151" s="3029"/>
      <c r="J151" s="3030"/>
      <c r="K151" s="1457">
        <v>1</v>
      </c>
      <c r="L151" s="3028" t="s">
        <v>3301</v>
      </c>
      <c r="M151" s="3029"/>
      <c r="N151" s="3030"/>
      <c r="O151" s="1457">
        <v>1</v>
      </c>
    </row>
    <row r="152" spans="6:15" ht="13.5" hidden="1" customHeight="1">
      <c r="F152" s="1326">
        <v>0</v>
      </c>
      <c r="G152" s="1335"/>
      <c r="H152" s="2984" t="s">
        <v>3302</v>
      </c>
      <c r="I152" s="2982"/>
      <c r="J152" s="2983"/>
      <c r="K152" s="1321">
        <v>2</v>
      </c>
      <c r="L152" s="2984" t="s">
        <v>3303</v>
      </c>
      <c r="M152" s="2982"/>
      <c r="N152" s="2983"/>
      <c r="O152" s="1321">
        <v>2</v>
      </c>
    </row>
    <row r="153" spans="6:15" ht="13.5" hidden="1" customHeight="1">
      <c r="F153" s="1326">
        <v>1</v>
      </c>
      <c r="G153" s="1336"/>
      <c r="H153" s="2978" t="s">
        <v>3296</v>
      </c>
      <c r="I153" s="2979"/>
      <c r="J153" s="2980"/>
      <c r="K153" s="1344">
        <v>1</v>
      </c>
      <c r="L153" s="2978" t="s">
        <v>3304</v>
      </c>
      <c r="M153" s="2979"/>
      <c r="N153" s="2980"/>
      <c r="O153" s="1344">
        <v>1</v>
      </c>
    </row>
    <row r="154" spans="6:15" ht="13.5" hidden="1" customHeight="1">
      <c r="F154" s="1326">
        <v>0</v>
      </c>
      <c r="G154" s="1334" t="s">
        <v>1879</v>
      </c>
      <c r="H154" s="3028" t="s">
        <v>647</v>
      </c>
      <c r="I154" s="3029"/>
      <c r="J154" s="3030"/>
      <c r="K154" s="1457">
        <v>1</v>
      </c>
      <c r="L154" s="3028" t="s">
        <v>3305</v>
      </c>
      <c r="M154" s="3029"/>
      <c r="N154" s="3030"/>
      <c r="O154" s="1457">
        <v>1</v>
      </c>
    </row>
    <row r="155" spans="6:15" ht="13.5" hidden="1" customHeight="1">
      <c r="F155" s="1326">
        <v>0</v>
      </c>
      <c r="G155" s="1336"/>
      <c r="H155" s="2978" t="s">
        <v>3296</v>
      </c>
      <c r="I155" s="2979"/>
      <c r="J155" s="2980"/>
      <c r="K155" s="1344">
        <v>1</v>
      </c>
      <c r="L155" s="2978" t="s">
        <v>3306</v>
      </c>
      <c r="M155" s="2979"/>
      <c r="N155" s="2980"/>
      <c r="O155" s="1344">
        <v>1</v>
      </c>
    </row>
    <row r="156" spans="6:15" ht="14.25" hidden="1" customHeight="1" thickBot="1">
      <c r="F156" s="1327">
        <v>0</v>
      </c>
      <c r="G156" s="610" t="s">
        <v>648</v>
      </c>
      <c r="H156" s="2978" t="s">
        <v>649</v>
      </c>
      <c r="I156" s="2979"/>
      <c r="J156" s="2980"/>
      <c r="K156" s="2688">
        <v>2</v>
      </c>
      <c r="L156" s="2978" t="s">
        <v>3307</v>
      </c>
      <c r="M156" s="2979"/>
      <c r="N156" s="2980"/>
      <c r="O156" s="2691">
        <v>2</v>
      </c>
    </row>
    <row r="157" spans="6:15" ht="14.25" hidden="1">
      <c r="F157" s="1312" t="s">
        <v>3308</v>
      </c>
      <c r="G157" s="1331">
        <f>IF($I$144=$V$4,SUM(F146:F148,F151:F152,F154,F156),SUM(F146,F149:F156))</f>
        <v>4</v>
      </c>
      <c r="H157" s="1331"/>
      <c r="I157" s="2683"/>
      <c r="J157" s="2687"/>
      <c r="K157" s="1324"/>
      <c r="L157" s="1315"/>
      <c r="M157" s="2687"/>
      <c r="N157" s="1315"/>
      <c r="O157" s="1324"/>
    </row>
    <row r="158" spans="6:15" hidden="1">
      <c r="F158" s="1235" t="s">
        <v>542</v>
      </c>
      <c r="G158" s="1236"/>
      <c r="H158" s="1236"/>
      <c r="I158" s="1236"/>
      <c r="J158" s="1236"/>
      <c r="K158" s="1236"/>
      <c r="L158" s="1236"/>
      <c r="M158" s="1236"/>
      <c r="N158" s="1236"/>
      <c r="O158" s="1284"/>
    </row>
    <row r="159" spans="6:15" hidden="1">
      <c r="F159" s="1237" t="s">
        <v>3111</v>
      </c>
      <c r="G159" s="1238"/>
      <c r="H159" s="1237" t="s">
        <v>650</v>
      </c>
      <c r="I159" s="1238"/>
      <c r="J159" s="1238"/>
      <c r="K159" s="1238"/>
      <c r="L159" s="1238"/>
      <c r="M159" s="1238"/>
      <c r="N159" s="1239"/>
      <c r="O159" s="1284"/>
    </row>
    <row r="160" spans="6:15" hidden="1">
      <c r="F160" s="1237" t="s">
        <v>3309</v>
      </c>
      <c r="G160" s="1238"/>
      <c r="H160" s="1237" t="s">
        <v>3310</v>
      </c>
      <c r="I160" s="1238"/>
      <c r="J160" s="1238"/>
      <c r="K160" s="1238"/>
      <c r="L160" s="1238"/>
      <c r="M160" s="1238"/>
      <c r="N160" s="1239"/>
      <c r="O160" s="1284"/>
    </row>
    <row r="161" spans="2:15" hidden="1">
      <c r="F161" s="2692" t="s">
        <v>651</v>
      </c>
      <c r="G161" s="2693"/>
      <c r="H161" s="3062" t="s">
        <v>3311</v>
      </c>
      <c r="I161" s="3063"/>
      <c r="J161" s="2993" t="s">
        <v>3312</v>
      </c>
      <c r="K161" s="3051"/>
      <c r="L161" s="3051"/>
      <c r="M161" s="3051"/>
      <c r="N161" s="2994"/>
      <c r="O161" s="1284"/>
    </row>
    <row r="162" spans="2:15" hidden="1">
      <c r="F162" s="2694"/>
      <c r="G162" s="2695"/>
      <c r="H162" s="2993" t="s">
        <v>3313</v>
      </c>
      <c r="I162" s="2994"/>
      <c r="J162" s="2993" t="s">
        <v>3314</v>
      </c>
      <c r="K162" s="3049"/>
      <c r="L162" s="3049"/>
      <c r="M162" s="3049"/>
      <c r="N162" s="3050"/>
      <c r="O162" s="1284"/>
    </row>
    <row r="163" spans="2:15" hidden="1">
      <c r="F163" s="1237" t="s">
        <v>652</v>
      </c>
      <c r="G163" s="1238"/>
      <c r="H163" s="2696" t="s">
        <v>3315</v>
      </c>
      <c r="I163" s="1237"/>
      <c r="J163" s="1238"/>
      <c r="K163" s="1238"/>
      <c r="L163" s="1238"/>
      <c r="M163" s="1238"/>
      <c r="N163" s="1239"/>
      <c r="O163" s="1284"/>
    </row>
    <row r="164" spans="2:15" ht="13.5" hidden="1" customHeight="1">
      <c r="F164" s="1237" t="s">
        <v>653</v>
      </c>
      <c r="G164" s="1238"/>
      <c r="H164" s="2696" t="s">
        <v>3316</v>
      </c>
      <c r="I164" s="1237"/>
      <c r="J164" s="1238"/>
      <c r="K164" s="1238"/>
      <c r="L164" s="1238"/>
      <c r="M164" s="1238"/>
      <c r="N164" s="1239"/>
      <c r="O164" s="1284"/>
    </row>
    <row r="165" spans="2:15" s="2681" customFormat="1" hidden="1">
      <c r="D165" s="2559"/>
      <c r="E165" s="144"/>
      <c r="F165" s="1237" t="s">
        <v>654</v>
      </c>
      <c r="G165" s="2697"/>
      <c r="H165" s="2993" t="s">
        <v>3317</v>
      </c>
      <c r="I165" s="3051"/>
      <c r="J165" s="3051"/>
      <c r="K165" s="3051"/>
      <c r="L165" s="3051"/>
      <c r="M165" s="3051"/>
      <c r="N165" s="2994"/>
      <c r="O165" s="1284"/>
    </row>
    <row r="166" spans="2:15" ht="15.75">
      <c r="D166" s="1025"/>
      <c r="E166" s="577"/>
      <c r="F166" s="1236"/>
      <c r="G166" s="1115"/>
      <c r="H166" s="1115"/>
      <c r="I166" s="1115"/>
      <c r="J166" s="1115"/>
      <c r="K166" s="1160"/>
      <c r="L166" s="1160"/>
      <c r="M166" s="1081"/>
      <c r="N166" s="1081"/>
      <c r="O166" s="1081"/>
    </row>
    <row r="167" spans="2:15" ht="15.75">
      <c r="B167" s="1234" t="s">
        <v>857</v>
      </c>
      <c r="D167" s="1025"/>
      <c r="E167" s="577"/>
      <c r="F167" s="1204" t="s">
        <v>655</v>
      </c>
      <c r="G167" s="1116"/>
      <c r="H167" s="1165"/>
      <c r="I167" s="1145"/>
      <c r="J167" s="1119" t="str">
        <f>IF(OR(F169=0,J168=0),$R$3,"")</f>
        <v>&lt;評価しない&gt;</v>
      </c>
      <c r="K167" s="1284"/>
      <c r="L167" s="1284"/>
      <c r="M167" s="1284"/>
      <c r="N167" s="1081"/>
      <c r="O167" s="1081"/>
    </row>
    <row r="168" spans="2:15" ht="16.5" hidden="1" thickBot="1">
      <c r="D168" s="1025"/>
      <c r="E168" s="577"/>
      <c r="F168" s="1185"/>
      <c r="G168" s="1043"/>
      <c r="H168" s="2698"/>
      <c r="I168" s="1045" t="s">
        <v>1484</v>
      </c>
      <c r="J168" s="1046">
        <f>重み!M74</f>
        <v>0</v>
      </c>
      <c r="K168" s="1186"/>
      <c r="L168" s="1045" t="s">
        <v>1439</v>
      </c>
      <c r="M168" s="1285">
        <f>メイン!$J$66</f>
        <v>3000</v>
      </c>
      <c r="N168" s="2699"/>
      <c r="O168" s="2700"/>
    </row>
    <row r="169" spans="2:15" ht="16.5" hidden="1" thickBot="1">
      <c r="D169" s="1551"/>
      <c r="E169" s="1263"/>
      <c r="F169" s="1120">
        <f>IF(J168=0,0,F177)</f>
        <v>0</v>
      </c>
      <c r="G169" s="1166" t="s">
        <v>1009</v>
      </c>
      <c r="H169" s="1054"/>
      <c r="I169" s="1054"/>
      <c r="J169" s="1055"/>
      <c r="K169" s="1054"/>
      <c r="L169" s="1054"/>
      <c r="M169" s="1054"/>
      <c r="N169" s="1289" t="s">
        <v>1440</v>
      </c>
      <c r="O169" s="1171"/>
    </row>
    <row r="170" spans="2:15" ht="15.75" hidden="1" customHeight="1">
      <c r="D170" s="1025"/>
      <c r="E170" s="1035"/>
      <c r="F170" s="1056" t="str">
        <f>IF(F169=$S$15,$T$10,IF(ROUNDDOWN(F169,0)=$S$10,$U$10,$T$10))</f>
        <v>　レベル　1</v>
      </c>
      <c r="G170" s="1291" t="s">
        <v>3318</v>
      </c>
      <c r="H170" s="1292"/>
      <c r="I170" s="1292"/>
      <c r="J170" s="1292"/>
      <c r="K170" s="1292"/>
      <c r="L170" s="1292"/>
      <c r="M170" s="1292"/>
      <c r="N170" s="2988" t="s">
        <v>3319</v>
      </c>
      <c r="O170" s="3018"/>
    </row>
    <row r="171" spans="2:15" ht="15.75" hidden="1">
      <c r="D171" s="1025"/>
      <c r="E171" s="1035"/>
      <c r="F171" s="1061" t="str">
        <f>IF(F169=$S$15,$T$11,IF(ROUNDDOWN(F169,0)=$S$11,$U$11,$T$11))</f>
        <v>　レベル　2</v>
      </c>
      <c r="G171" s="2684" t="s">
        <v>3320</v>
      </c>
      <c r="H171" s="2685"/>
      <c r="I171" s="2685"/>
      <c r="J171" s="2685"/>
      <c r="K171" s="2685"/>
      <c r="L171" s="2685"/>
      <c r="M171" s="2685"/>
      <c r="N171" s="3019"/>
      <c r="O171" s="3018"/>
    </row>
    <row r="172" spans="2:15" ht="15.75" hidden="1">
      <c r="D172" s="1025"/>
      <c r="E172" s="1035"/>
      <c r="F172" s="1061" t="str">
        <f>IF(F169=$S$15,$T$12,IF(ROUNDDOWN(F169,0)=$S$12,$U$12,$T$12))</f>
        <v>　レベル　3</v>
      </c>
      <c r="G172" s="2684" t="s">
        <v>1010</v>
      </c>
      <c r="H172" s="2685"/>
      <c r="I172" s="2685"/>
      <c r="J172" s="2685"/>
      <c r="K172" s="2685"/>
      <c r="L172" s="2685"/>
      <c r="M172" s="2685"/>
      <c r="N172" s="3019"/>
      <c r="O172" s="3018"/>
    </row>
    <row r="173" spans="2:15" ht="15.75" hidden="1">
      <c r="D173" s="1025"/>
      <c r="E173" s="1035"/>
      <c r="F173" s="1061" t="str">
        <f>IF(F169=$S$15,$T$13,IF(ROUNDDOWN(F169,0)=$S$13,$U$13,$T$13))</f>
        <v>　レベル　4</v>
      </c>
      <c r="G173" s="1294" t="s">
        <v>1011</v>
      </c>
      <c r="H173" s="2685"/>
      <c r="I173" s="2685"/>
      <c r="J173" s="2685"/>
      <c r="K173" s="2685"/>
      <c r="L173" s="2685"/>
      <c r="M173" s="2685"/>
      <c r="N173" s="3019"/>
      <c r="O173" s="3018"/>
    </row>
    <row r="174" spans="2:15" ht="15.75" hidden="1">
      <c r="D174" s="1025"/>
      <c r="E174" s="1035"/>
      <c r="F174" s="1072" t="str">
        <f>IF(F169=$S$15,$T$14,IF(ROUNDDOWN(F169,0)=$S$14,$U$14,$T$14))</f>
        <v>　レベル　5</v>
      </c>
      <c r="G174" s="1297" t="s">
        <v>1012</v>
      </c>
      <c r="H174" s="1298"/>
      <c r="I174" s="1298"/>
      <c r="J174" s="1298"/>
      <c r="K174" s="1298"/>
      <c r="L174" s="1298"/>
      <c r="M174" s="1298"/>
      <c r="N174" s="3020"/>
      <c r="O174" s="3021"/>
    </row>
    <row r="175" spans="2:15" ht="16.5" hidden="1" thickBot="1">
      <c r="D175" s="1025"/>
      <c r="E175" s="1035"/>
      <c r="F175" s="1277" t="s">
        <v>2933</v>
      </c>
      <c r="G175" s="1337"/>
      <c r="H175" s="1337"/>
      <c r="I175" s="1236"/>
      <c r="J175" s="1337"/>
      <c r="K175" s="1337"/>
      <c r="L175" s="1337"/>
      <c r="M175" s="1337"/>
      <c r="N175" s="1337"/>
      <c r="O175" s="1337"/>
    </row>
    <row r="176" spans="2:15" ht="16.5" hidden="1" thickBot="1">
      <c r="D176" s="1025"/>
      <c r="E176" s="1035"/>
      <c r="F176" s="1049">
        <v>3</v>
      </c>
      <c r="G176" s="1338" t="s">
        <v>2921</v>
      </c>
      <c r="H176" s="1279"/>
      <c r="I176" s="1081"/>
      <c r="J176" s="1339"/>
      <c r="K176" s="1340"/>
      <c r="L176" s="1339"/>
      <c r="M176" s="1339"/>
      <c r="N176" s="1280"/>
      <c r="O176" s="1340"/>
    </row>
    <row r="177" spans="2:15" ht="16.5" hidden="1" thickBot="1">
      <c r="B177" s="1">
        <v>1</v>
      </c>
      <c r="C177" s="1">
        <v>1</v>
      </c>
      <c r="D177" s="1025"/>
      <c r="E177" s="1035"/>
      <c r="F177" s="1281">
        <f>IF(H176=$T$4,F176,IF(SUM(F178,F181,F184)&lt;0,2,ROUND((IF(G187=0,3,IF(G187&lt;=2,4,5))),0)))</f>
        <v>3</v>
      </c>
      <c r="G177" s="1282" t="s">
        <v>1877</v>
      </c>
      <c r="H177" s="1282"/>
      <c r="I177" s="610" t="s">
        <v>420</v>
      </c>
      <c r="J177" s="1282"/>
      <c r="K177" s="1282"/>
      <c r="L177" s="610" t="s">
        <v>1424</v>
      </c>
      <c r="M177" s="1282"/>
      <c r="N177" s="1282"/>
      <c r="O177" s="1317" t="s">
        <v>1760</v>
      </c>
    </row>
    <row r="178" spans="2:15" ht="15.75" hidden="1" customHeight="1">
      <c r="B178" s="1">
        <v>2</v>
      </c>
      <c r="C178" s="1">
        <v>2</v>
      </c>
      <c r="D178" s="1025"/>
      <c r="E178" s="1035"/>
      <c r="F178" s="1341">
        <v>0</v>
      </c>
      <c r="G178" s="3022" t="s">
        <v>1013</v>
      </c>
      <c r="H178" s="3023"/>
      <c r="I178" s="3028" t="s">
        <v>1014</v>
      </c>
      <c r="J178" s="3029"/>
      <c r="K178" s="3030"/>
      <c r="L178" s="3028" t="s">
        <v>1761</v>
      </c>
      <c r="M178" s="3029"/>
      <c r="N178" s="3030"/>
      <c r="O178" s="1342" t="s">
        <v>1762</v>
      </c>
    </row>
    <row r="179" spans="2:15" ht="15.75" hidden="1" customHeight="1">
      <c r="B179" s="1">
        <v>3</v>
      </c>
      <c r="C179" s="1">
        <v>3</v>
      </c>
      <c r="D179" s="1025"/>
      <c r="E179" s="1035"/>
      <c r="F179" s="3016">
        <v>0</v>
      </c>
      <c r="G179" s="3024"/>
      <c r="H179" s="3025"/>
      <c r="I179" s="2984" t="s">
        <v>1015</v>
      </c>
      <c r="J179" s="2982"/>
      <c r="K179" s="2983"/>
      <c r="L179" s="2984" t="s">
        <v>293</v>
      </c>
      <c r="M179" s="2982"/>
      <c r="N179" s="2983"/>
      <c r="O179" s="1343">
        <v>0</v>
      </c>
    </row>
    <row r="180" spans="2:15" ht="15.75" hidden="1" customHeight="1">
      <c r="B180" s="1">
        <v>4</v>
      </c>
      <c r="C180" s="1">
        <v>4</v>
      </c>
      <c r="D180" s="1025"/>
      <c r="E180" s="1035"/>
      <c r="F180" s="3017"/>
      <c r="G180" s="3026"/>
      <c r="H180" s="3027"/>
      <c r="I180" s="2978" t="s">
        <v>1016</v>
      </c>
      <c r="J180" s="2979"/>
      <c r="K180" s="2980"/>
      <c r="L180" s="2978" t="s">
        <v>294</v>
      </c>
      <c r="M180" s="2979"/>
      <c r="N180" s="2980"/>
      <c r="O180" s="1344">
        <v>1</v>
      </c>
    </row>
    <row r="181" spans="2:15" ht="15.75" hidden="1" customHeight="1">
      <c r="B181" s="1">
        <v>5</v>
      </c>
      <c r="C181" s="1">
        <v>5</v>
      </c>
      <c r="D181" s="1025"/>
      <c r="E181" s="1035"/>
      <c r="F181" s="1345">
        <v>0</v>
      </c>
      <c r="G181" s="3022" t="s">
        <v>1017</v>
      </c>
      <c r="H181" s="3023"/>
      <c r="I181" s="3028" t="s">
        <v>1018</v>
      </c>
      <c r="J181" s="3029"/>
      <c r="K181" s="3030"/>
      <c r="L181" s="3028" t="s">
        <v>295</v>
      </c>
      <c r="M181" s="3029"/>
      <c r="N181" s="3030"/>
      <c r="O181" s="1342" t="s">
        <v>1762</v>
      </c>
    </row>
    <row r="182" spans="2:15" ht="15.75" hidden="1" customHeight="1">
      <c r="B182" s="1079">
        <v>0</v>
      </c>
      <c r="C182" s="1079">
        <v>0</v>
      </c>
      <c r="D182" s="1025"/>
      <c r="E182" s="1035"/>
      <c r="F182" s="3016">
        <v>0</v>
      </c>
      <c r="G182" s="3024"/>
      <c r="H182" s="3025"/>
      <c r="I182" s="2984" t="s">
        <v>3321</v>
      </c>
      <c r="J182" s="2982"/>
      <c r="K182" s="2983"/>
      <c r="L182" s="2984" t="s">
        <v>3154</v>
      </c>
      <c r="M182" s="2982"/>
      <c r="N182" s="2983"/>
      <c r="O182" s="1343">
        <v>0</v>
      </c>
    </row>
    <row r="183" spans="2:15" ht="15.75" hidden="1" customHeight="1">
      <c r="D183" s="1025"/>
      <c r="E183" s="1035"/>
      <c r="F183" s="3017"/>
      <c r="G183" s="3026"/>
      <c r="H183" s="3027"/>
      <c r="I183" s="2978" t="s">
        <v>1016</v>
      </c>
      <c r="J183" s="2979"/>
      <c r="K183" s="2980"/>
      <c r="L183" s="2978" t="s">
        <v>3155</v>
      </c>
      <c r="M183" s="2979"/>
      <c r="N183" s="2980"/>
      <c r="O183" s="1344">
        <v>1</v>
      </c>
    </row>
    <row r="184" spans="2:15" ht="15.75" hidden="1" customHeight="1">
      <c r="D184" s="1025"/>
      <c r="E184" s="1035"/>
      <c r="F184" s="1345">
        <v>0</v>
      </c>
      <c r="G184" s="3032" t="s">
        <v>381</v>
      </c>
      <c r="H184" s="3033"/>
      <c r="I184" s="3028" t="s">
        <v>382</v>
      </c>
      <c r="J184" s="3029"/>
      <c r="K184" s="3030"/>
      <c r="L184" s="3028" t="s">
        <v>3156</v>
      </c>
      <c r="M184" s="3029"/>
      <c r="N184" s="3030"/>
      <c r="O184" s="1342" t="s">
        <v>1762</v>
      </c>
    </row>
    <row r="185" spans="2:15" ht="15.75" hidden="1" customHeight="1">
      <c r="D185" s="1025"/>
      <c r="E185" s="1035"/>
      <c r="F185" s="3016">
        <v>0</v>
      </c>
      <c r="G185" s="3034"/>
      <c r="H185" s="3018"/>
      <c r="I185" s="2984" t="s">
        <v>383</v>
      </c>
      <c r="J185" s="2982"/>
      <c r="K185" s="2983"/>
      <c r="L185" s="2984" t="s">
        <v>3157</v>
      </c>
      <c r="M185" s="2982"/>
      <c r="N185" s="2983"/>
      <c r="O185" s="1321">
        <v>0</v>
      </c>
    </row>
    <row r="186" spans="2:15" ht="16.5" hidden="1" customHeight="1" thickBot="1">
      <c r="D186" s="1025"/>
      <c r="E186" s="1035"/>
      <c r="F186" s="3031"/>
      <c r="G186" s="3035"/>
      <c r="H186" s="3021"/>
      <c r="I186" s="2978" t="s">
        <v>1016</v>
      </c>
      <c r="J186" s="2979"/>
      <c r="K186" s="2980"/>
      <c r="L186" s="2978" t="s">
        <v>3158</v>
      </c>
      <c r="M186" s="2979"/>
      <c r="N186" s="2980"/>
      <c r="O186" s="2688">
        <v>1</v>
      </c>
    </row>
    <row r="187" spans="2:15" ht="15.75" hidden="1">
      <c r="D187" s="1025"/>
      <c r="E187" s="1035"/>
      <c r="F187" s="1312" t="s">
        <v>147</v>
      </c>
      <c r="G187" s="2987">
        <f>SUM(F178:F186)</f>
        <v>0</v>
      </c>
      <c r="H187" s="2987"/>
      <c r="I187" s="2683"/>
      <c r="J187" s="2687"/>
      <c r="K187" s="2687"/>
      <c r="L187" s="1315"/>
      <c r="M187" s="2687"/>
      <c r="N187" s="1315"/>
      <c r="O187" s="1324"/>
    </row>
    <row r="188" spans="2:15" ht="15.75">
      <c r="D188" s="1025"/>
      <c r="E188" s="1035"/>
      <c r="F188" s="1236"/>
      <c r="G188" s="1346"/>
      <c r="H188" s="1115"/>
      <c r="I188" s="1300"/>
      <c r="J188" s="1301"/>
      <c r="K188" s="1301"/>
      <c r="L188" s="1115"/>
      <c r="M188" s="1115"/>
      <c r="N188" s="1115"/>
      <c r="O188" s="1115"/>
    </row>
    <row r="189" spans="2:15" ht="15.75">
      <c r="D189" s="1465">
        <v>2</v>
      </c>
      <c r="E189" s="1263" t="s">
        <v>384</v>
      </c>
      <c r="F189" s="1272"/>
      <c r="G189" s="1273"/>
      <c r="H189" s="1273"/>
      <c r="I189" s="1273"/>
      <c r="J189" s="1273"/>
      <c r="K189" s="1272"/>
      <c r="L189" s="1272"/>
      <c r="M189" s="1272"/>
      <c r="N189" s="1272"/>
      <c r="O189" s="1272"/>
    </row>
    <row r="190" spans="2:15" ht="15.75">
      <c r="D190" s="1465">
        <v>2.1</v>
      </c>
      <c r="E190" s="1263" t="s">
        <v>385</v>
      </c>
      <c r="F190" s="1272"/>
      <c r="G190" s="1163"/>
      <c r="H190" s="1273"/>
      <c r="I190" s="1284"/>
      <c r="J190" s="1273"/>
      <c r="K190" s="1272"/>
      <c r="L190" s="1347"/>
      <c r="M190" s="1272"/>
      <c r="N190" s="1272"/>
      <c r="O190" s="1272"/>
    </row>
    <row r="191" spans="2:15" ht="15.75">
      <c r="D191" s="1025"/>
      <c r="E191" s="1030"/>
      <c r="F191" s="1204" t="s">
        <v>386</v>
      </c>
      <c r="G191" s="1116"/>
      <c r="H191" s="1165"/>
      <c r="I191" s="1145"/>
      <c r="J191" s="1119" t="str">
        <f>IF(OR(F193=0,J192=0),$R$3,"")</f>
        <v/>
      </c>
      <c r="K191" s="1204" t="s">
        <v>3159</v>
      </c>
      <c r="L191" s="1116"/>
      <c r="M191" s="1165"/>
      <c r="N191" s="1145"/>
      <c r="O191" s="1119" t="str">
        <f>IF(OR(K193=0,O192=0),$R$3,"")</f>
        <v/>
      </c>
    </row>
    <row r="192" spans="2:15" ht="16.5" thickBot="1">
      <c r="D192" s="1025"/>
      <c r="E192" s="1030"/>
      <c r="F192" s="1042"/>
      <c r="G192" s="1043"/>
      <c r="H192" s="1044"/>
      <c r="I192" s="1045" t="s">
        <v>1484</v>
      </c>
      <c r="J192" s="1048">
        <f>重み!M77</f>
        <v>0.8</v>
      </c>
      <c r="K192" s="1042"/>
      <c r="L192" s="1043"/>
      <c r="M192" s="1044"/>
      <c r="N192" s="1045" t="s">
        <v>1484</v>
      </c>
      <c r="O192" s="1048">
        <f>重み!M78</f>
        <v>0.2</v>
      </c>
    </row>
    <row r="193" spans="2:15" ht="16.5" thickBot="1">
      <c r="D193" s="1025"/>
      <c r="E193" s="1030"/>
      <c r="F193" s="1049">
        <v>3</v>
      </c>
      <c r="G193" s="2510" t="s">
        <v>32</v>
      </c>
      <c r="H193" s="1054"/>
      <c r="I193" s="1166" t="s">
        <v>538</v>
      </c>
      <c r="J193" s="1055"/>
      <c r="K193" s="1049">
        <v>3</v>
      </c>
      <c r="L193" s="1166" t="s">
        <v>1632</v>
      </c>
      <c r="M193" s="1055"/>
      <c r="N193" s="1166"/>
      <c r="O193" s="1171"/>
    </row>
    <row r="194" spans="2:15" ht="16.5" customHeight="1">
      <c r="B194" s="1267" t="s">
        <v>1637</v>
      </c>
      <c r="C194" s="1" t="s">
        <v>1637</v>
      </c>
      <c r="D194" s="1025"/>
      <c r="E194" s="1030"/>
      <c r="F194" s="1056" t="str">
        <f>IF(F193=$S$15,$T$10,IF(ROUNDDOWN(F193,0)=$S$10,$U$10,$T$10))</f>
        <v>　レベル　1</v>
      </c>
      <c r="G194" s="2896" t="s">
        <v>2365</v>
      </c>
      <c r="H194" s="2902"/>
      <c r="I194" s="2896" t="s">
        <v>33</v>
      </c>
      <c r="J194" s="2902"/>
      <c r="K194" s="1056" t="str">
        <f>IF(K193=$S$15,$T$10,IF(ROUNDDOWN(K193,0)=$S$10,$U$10,$T$10))</f>
        <v>　レベル　1</v>
      </c>
      <c r="L194" s="2896" t="s">
        <v>2365</v>
      </c>
      <c r="M194" s="2916"/>
      <c r="N194" s="2916"/>
      <c r="O194" s="2902"/>
    </row>
    <row r="195" spans="2:15" ht="30.75" customHeight="1">
      <c r="B195" s="1267">
        <v>2</v>
      </c>
      <c r="C195" s="1" t="s">
        <v>1637</v>
      </c>
      <c r="D195" s="1025"/>
      <c r="E195" s="1030"/>
      <c r="F195" s="1061" t="str">
        <f>IF(F193=$S$15,$T$11,IF(ROUNDDOWN(F193,0)=$S$11,$U$11,$T$11))</f>
        <v>　レベル　2</v>
      </c>
      <c r="G195" s="2900" t="s">
        <v>1071</v>
      </c>
      <c r="H195" s="2901"/>
      <c r="I195" s="2900" t="s">
        <v>34</v>
      </c>
      <c r="J195" s="2901"/>
      <c r="K195" s="1061" t="str">
        <f>IF(K193=$S$15,$T$11,IF(ROUNDDOWN(K193,0)=$S$11,$U$11,$T$11))</f>
        <v>　レベル　2</v>
      </c>
      <c r="L195" s="2900" t="s">
        <v>2365</v>
      </c>
      <c r="M195" s="2906"/>
      <c r="N195" s="2906"/>
      <c r="O195" s="2901"/>
    </row>
    <row r="196" spans="2:15" ht="24.75" customHeight="1">
      <c r="B196" s="1">
        <v>3</v>
      </c>
      <c r="C196" s="1">
        <v>3</v>
      </c>
      <c r="D196" s="1025"/>
      <c r="E196" s="1030"/>
      <c r="F196" s="1061" t="str">
        <f>IF(F193=$S$15,$T$12,IF(ROUNDDOWN(F193,0)=$S$12,$U$12,$T$12))</f>
        <v>■レベル　3</v>
      </c>
      <c r="G196" s="2900" t="s">
        <v>388</v>
      </c>
      <c r="H196" s="2901"/>
      <c r="I196" s="2900" t="s">
        <v>35</v>
      </c>
      <c r="J196" s="2901"/>
      <c r="K196" s="1061" t="str">
        <f>IF(K193=$S$15,$T$12,IF(ROUNDDOWN(K193,0)=$S$12,$U$12,$T$12))</f>
        <v>■レベル　3</v>
      </c>
      <c r="L196" s="2900" t="s">
        <v>389</v>
      </c>
      <c r="M196" s="2906"/>
      <c r="N196" s="2906"/>
      <c r="O196" s="2901"/>
    </row>
    <row r="197" spans="2:15" ht="26.25" customHeight="1">
      <c r="B197" s="1">
        <v>4</v>
      </c>
      <c r="C197" s="1">
        <v>4</v>
      </c>
      <c r="D197" s="1025"/>
      <c r="E197" s="1030"/>
      <c r="F197" s="1061" t="str">
        <f>IF(F193=$S$15,$T$13,IF(ROUNDDOWN(F193,0)=$S$13,$U$13,$T$13))</f>
        <v>　レベル　4</v>
      </c>
      <c r="G197" s="2900" t="s">
        <v>390</v>
      </c>
      <c r="H197" s="2901"/>
      <c r="I197" s="2900" t="s">
        <v>1071</v>
      </c>
      <c r="J197" s="2901"/>
      <c r="K197" s="1061" t="str">
        <f>IF(K193=$S$15,$T$13,IF(ROUNDDOWN(K193,0)=$S$13,$U$13,$T$13))</f>
        <v>　レベル　4</v>
      </c>
      <c r="L197" s="2900" t="s">
        <v>1072</v>
      </c>
      <c r="M197" s="2906"/>
      <c r="N197" s="2906"/>
      <c r="O197" s="2901"/>
    </row>
    <row r="198" spans="2:15" ht="43.5" customHeight="1">
      <c r="B198" s="1">
        <v>5</v>
      </c>
      <c r="C198" s="1">
        <v>5</v>
      </c>
      <c r="D198" s="1025"/>
      <c r="E198" s="1030"/>
      <c r="F198" s="1072" t="str">
        <f>IF(F193=$S$15,$T$14,IF(ROUNDDOWN(F193,0)=$S$14,$U$14,$T$14))</f>
        <v>　レベル　5</v>
      </c>
      <c r="G198" s="2898" t="s">
        <v>391</v>
      </c>
      <c r="H198" s="2899"/>
      <c r="I198" s="2898" t="s">
        <v>391</v>
      </c>
      <c r="J198" s="2899"/>
      <c r="K198" s="1072" t="str">
        <f>IF(K193=$S$15,$T$14,IF(ROUNDDOWN(K193,0)=$S$14,$U$14,$T$14))</f>
        <v>　レベル　5</v>
      </c>
      <c r="L198" s="2898" t="s">
        <v>1073</v>
      </c>
      <c r="M198" s="2905"/>
      <c r="N198" s="2905"/>
      <c r="O198" s="2899"/>
    </row>
    <row r="199" spans="2:15" ht="15.75">
      <c r="B199" s="1079">
        <v>0</v>
      </c>
      <c r="C199" s="1079">
        <v>0</v>
      </c>
      <c r="D199" s="1025"/>
      <c r="E199" s="577"/>
      <c r="F199" s="1236"/>
      <c r="G199" s="1115"/>
      <c r="H199" s="1115"/>
      <c r="I199" s="1115"/>
      <c r="J199" s="1115"/>
      <c r="K199" s="1236"/>
      <c r="L199" s="1236"/>
      <c r="M199" s="1236"/>
      <c r="N199" s="1236"/>
      <c r="O199" s="1236"/>
    </row>
    <row r="200" spans="2:15" ht="15.75">
      <c r="D200" s="1348">
        <v>2.2000000000000002</v>
      </c>
      <c r="E200" s="1162" t="s">
        <v>2413</v>
      </c>
      <c r="F200" s="1349"/>
      <c r="G200" s="1349"/>
      <c r="H200" s="1163"/>
      <c r="I200" s="1273"/>
      <c r="J200" s="1273"/>
      <c r="K200" s="1272"/>
      <c r="L200" s="1347"/>
      <c r="M200" s="1272"/>
      <c r="N200" s="1272"/>
      <c r="O200" s="1272"/>
    </row>
    <row r="201" spans="2:15" ht="15.75">
      <c r="D201" s="1348"/>
      <c r="E201" s="1162"/>
      <c r="F201" s="1204" t="s">
        <v>613</v>
      </c>
      <c r="G201" s="1116"/>
      <c r="H201" s="1165"/>
      <c r="I201" s="1145"/>
      <c r="J201" s="1119" t="str">
        <f>IF(OR(F203=0,J202=0),$R$3,"")</f>
        <v/>
      </c>
      <c r="K201" s="1204" t="s">
        <v>1273</v>
      </c>
      <c r="L201" s="1116"/>
      <c r="M201" s="1165"/>
      <c r="N201" s="1145"/>
      <c r="O201" s="1119" t="str">
        <f>IF(OR(K203=0,O202=0),$R$3,"")</f>
        <v/>
      </c>
    </row>
    <row r="202" spans="2:15" ht="16.5" thickBot="1">
      <c r="D202" s="1025"/>
      <c r="E202" s="1030"/>
      <c r="F202" s="1042"/>
      <c r="G202" s="1043"/>
      <c r="H202" s="1044"/>
      <c r="I202" s="1045" t="s">
        <v>1484</v>
      </c>
      <c r="J202" s="1048">
        <f>重み!M80</f>
        <v>0.2</v>
      </c>
      <c r="K202" s="1042"/>
      <c r="L202" s="1043"/>
      <c r="M202" s="1044"/>
      <c r="N202" s="1045" t="s">
        <v>1484</v>
      </c>
      <c r="O202" s="1048">
        <f>重み!M81</f>
        <v>0.2</v>
      </c>
    </row>
    <row r="203" spans="2:15" ht="16.5" thickBot="1">
      <c r="D203" s="1025"/>
      <c r="E203" s="1030"/>
      <c r="F203" s="1049">
        <v>3</v>
      </c>
      <c r="G203" s="1166" t="s">
        <v>42</v>
      </c>
      <c r="H203" s="1054"/>
      <c r="I203" s="1054"/>
      <c r="J203" s="1055"/>
      <c r="K203" s="1049">
        <v>3</v>
      </c>
      <c r="L203" s="1166" t="s">
        <v>1632</v>
      </c>
      <c r="M203" s="1055"/>
      <c r="N203" s="1166"/>
      <c r="O203" s="1171"/>
    </row>
    <row r="204" spans="2:15" ht="15.75">
      <c r="B204" s="1" t="s">
        <v>1637</v>
      </c>
      <c r="C204" s="1">
        <v>1</v>
      </c>
      <c r="D204" s="1025"/>
      <c r="E204" s="1030"/>
      <c r="F204" s="1056" t="str">
        <f>IF(F203=$S$15,$T$10,IF(ROUNDDOWN(F203,0)=$S$10,$U$10,$T$10))</f>
        <v>　レベル　1</v>
      </c>
      <c r="G204" s="1058" t="s">
        <v>2365</v>
      </c>
      <c r="H204" s="1350"/>
      <c r="I204" s="1350"/>
      <c r="J204" s="1060"/>
      <c r="K204" s="1056" t="str">
        <f>IF(K203=$S$15,$T$10,IF(ROUNDDOWN(K203,0)=$S$10,$U$10,$T$10))</f>
        <v>　レベル　1</v>
      </c>
      <c r="L204" s="1058" t="s">
        <v>614</v>
      </c>
      <c r="M204" s="1350"/>
      <c r="N204" s="1350"/>
      <c r="O204" s="1060"/>
    </row>
    <row r="205" spans="2:15" ht="15.75">
      <c r="B205" s="1" t="s">
        <v>1637</v>
      </c>
      <c r="C205" s="1">
        <v>2</v>
      </c>
      <c r="D205" s="1025"/>
      <c r="E205" s="1030"/>
      <c r="F205" s="1061" t="str">
        <f>IF(F203=$S$15,$T$11,IF(ROUNDDOWN(F203,0)=$S$11,$U$11,$T$11))</f>
        <v>　レベル　2</v>
      </c>
      <c r="G205" s="1065" t="s">
        <v>2365</v>
      </c>
      <c r="H205" s="1206"/>
      <c r="I205" s="1206"/>
      <c r="J205" s="1067"/>
      <c r="K205" s="1061" t="str">
        <f>IF(K203=$S$15,$T$11,IF(ROUNDDOWN(K203,0)=$S$11,$U$11,$T$11))</f>
        <v>　レベル　2</v>
      </c>
      <c r="L205" s="1065" t="s">
        <v>615</v>
      </c>
      <c r="M205" s="1206"/>
      <c r="N205" s="1206"/>
      <c r="O205" s="1067"/>
    </row>
    <row r="206" spans="2:15" ht="42" customHeight="1">
      <c r="B206" s="1">
        <v>3</v>
      </c>
      <c r="C206" s="1">
        <v>3</v>
      </c>
      <c r="D206" s="1025"/>
      <c r="E206" s="1030"/>
      <c r="F206" s="1061" t="str">
        <f>IF(F203=$S$15,$T$12,IF(ROUNDDOWN(F203,0)=$S$12,$U$12,$T$12))</f>
        <v>■レベル　3</v>
      </c>
      <c r="G206" s="2900" t="s">
        <v>3172</v>
      </c>
      <c r="H206" s="2917"/>
      <c r="I206" s="2917"/>
      <c r="J206" s="2943"/>
      <c r="K206" s="1061" t="str">
        <f>IF(K203=$S$15,$T$12,IF(ROUNDDOWN(K203,0)=$S$12,$U$12,$T$12))</f>
        <v>■レベル　3</v>
      </c>
      <c r="L206" s="1065" t="s">
        <v>616</v>
      </c>
      <c r="M206" s="1206"/>
      <c r="N206" s="1206"/>
      <c r="O206" s="1067"/>
    </row>
    <row r="207" spans="2:15" ht="42" customHeight="1">
      <c r="B207" s="1">
        <v>4</v>
      </c>
      <c r="C207" s="1">
        <v>4</v>
      </c>
      <c r="D207" s="1025"/>
      <c r="E207" s="1030"/>
      <c r="F207" s="1061" t="str">
        <f>IF(F203=$S$15,$T$13,IF(ROUNDDOWN(F203,0)=$S$13,$U$13,$T$13))</f>
        <v>　レベル　4</v>
      </c>
      <c r="G207" s="2900" t="s">
        <v>3173</v>
      </c>
      <c r="H207" s="2906"/>
      <c r="I207" s="2906"/>
      <c r="J207" s="2901"/>
      <c r="K207" s="1061" t="str">
        <f>IF(K203=$S$15,$T$13,IF(ROUNDDOWN(K203,0)=$S$13,$U$13,$T$13))</f>
        <v>　レベル　4</v>
      </c>
      <c r="L207" s="1065" t="s">
        <v>3139</v>
      </c>
      <c r="M207" s="1206"/>
      <c r="N207" s="1206"/>
      <c r="O207" s="1067"/>
    </row>
    <row r="208" spans="2:15" ht="42" customHeight="1">
      <c r="B208" s="1">
        <v>5</v>
      </c>
      <c r="C208" s="1">
        <v>5</v>
      </c>
      <c r="D208" s="1025"/>
      <c r="E208" s="1030"/>
      <c r="F208" s="1072" t="str">
        <f>IF(F203=$S$15,$T$14,IF(ROUNDDOWN(F203,0)=$S$14,$U$14,$T$14))</f>
        <v>　レベル　5</v>
      </c>
      <c r="G208" s="2898" t="s">
        <v>3174</v>
      </c>
      <c r="H208" s="2905"/>
      <c r="I208" s="2905"/>
      <c r="J208" s="2899"/>
      <c r="K208" s="1072" t="str">
        <f>IF(K203=$S$15,$T$14,IF(ROUNDDOWN(K203,0)=$S$14,$U$14,$T$14))</f>
        <v>　レベル　5</v>
      </c>
      <c r="L208" s="1076" t="s">
        <v>3140</v>
      </c>
      <c r="M208" s="1199"/>
      <c r="N208" s="1199"/>
      <c r="O208" s="1078"/>
    </row>
    <row r="209" spans="2:15" ht="15.75">
      <c r="B209" s="1079">
        <v>0</v>
      </c>
      <c r="C209" s="1079">
        <v>0</v>
      </c>
      <c r="D209" s="1025"/>
      <c r="E209" s="1030"/>
      <c r="F209" s="1236"/>
      <c r="G209" s="1115"/>
      <c r="H209" s="1115"/>
      <c r="I209" s="1115"/>
      <c r="J209" s="1115"/>
      <c r="K209" s="1236"/>
      <c r="L209" s="1236"/>
      <c r="M209" s="1236"/>
      <c r="N209" s="1236"/>
      <c r="O209" s="1351"/>
    </row>
    <row r="210" spans="2:15" ht="15.75">
      <c r="D210" s="1025"/>
      <c r="E210" s="1030"/>
      <c r="F210" s="1204" t="s">
        <v>1274</v>
      </c>
      <c r="G210" s="1116"/>
      <c r="H210" s="1165"/>
      <c r="I210" s="1145"/>
      <c r="J210" s="1119" t="str">
        <f>IF(OR(F212=0,J211=0),$R$3,"")</f>
        <v/>
      </c>
      <c r="K210" s="1204" t="s">
        <v>3141</v>
      </c>
      <c r="L210" s="1116"/>
      <c r="M210" s="1165"/>
      <c r="N210" s="1145"/>
      <c r="O210" s="1119" t="str">
        <f>IF(OR(K212=0,O211=0),$R$3,"")</f>
        <v/>
      </c>
    </row>
    <row r="211" spans="2:15" ht="15.75" customHeight="1" thickBot="1">
      <c r="D211" s="1025"/>
      <c r="E211" s="1352"/>
      <c r="F211" s="1042"/>
      <c r="G211" s="1043"/>
      <c r="H211" s="1044"/>
      <c r="I211" s="1045" t="s">
        <v>1484</v>
      </c>
      <c r="J211" s="1048">
        <f>重み!M82</f>
        <v>0.1</v>
      </c>
      <c r="K211" s="1042"/>
      <c r="L211" s="1043"/>
      <c r="M211" s="1044"/>
      <c r="N211" s="1045" t="s">
        <v>1484</v>
      </c>
      <c r="O211" s="1048">
        <f>重み!M83</f>
        <v>0.1</v>
      </c>
    </row>
    <row r="212" spans="2:15" ht="15.75" customHeight="1" thickBot="1">
      <c r="D212" s="1025"/>
      <c r="E212" s="1352"/>
      <c r="F212" s="1049">
        <v>3</v>
      </c>
      <c r="G212" s="1166" t="s">
        <v>1217</v>
      </c>
      <c r="H212" s="1055"/>
      <c r="I212" s="1054" t="s">
        <v>1275</v>
      </c>
      <c r="J212" s="1055"/>
      <c r="K212" s="1049">
        <v>3</v>
      </c>
      <c r="L212" s="1166" t="s">
        <v>1632</v>
      </c>
      <c r="M212" s="1055"/>
      <c r="N212" s="1166"/>
      <c r="O212" s="1171"/>
    </row>
    <row r="213" spans="2:15" ht="15.75" customHeight="1">
      <c r="B213" s="1">
        <v>1</v>
      </c>
      <c r="C213" s="1" t="s">
        <v>1637</v>
      </c>
      <c r="D213" s="1025"/>
      <c r="E213" s="1276"/>
      <c r="F213" s="1056" t="str">
        <f>IF(F212=$S$15,$T$10,IF(ROUNDDOWN(F212,0)=$S$10,$U$10,$T$10))</f>
        <v>　レベル　1</v>
      </c>
      <c r="G213" s="1058" t="s">
        <v>1276</v>
      </c>
      <c r="H213" s="1060"/>
      <c r="I213" s="1058" t="s">
        <v>614</v>
      </c>
      <c r="J213" s="1060"/>
      <c r="K213" s="1056" t="str">
        <f>IF(K212=$S$15,$T$10,IF(ROUNDDOWN(K212,0)=$S$10,$U$10,$T$10))</f>
        <v>　レベル　1</v>
      </c>
      <c r="L213" s="1058" t="s">
        <v>2365</v>
      </c>
      <c r="M213" s="1350"/>
      <c r="N213" s="1350"/>
      <c r="O213" s="1060"/>
    </row>
    <row r="214" spans="2:15" ht="15.75">
      <c r="B214" s="1">
        <v>2</v>
      </c>
      <c r="C214" s="1" t="s">
        <v>1637</v>
      </c>
      <c r="D214" s="1025"/>
      <c r="E214" s="1276"/>
      <c r="F214" s="1061" t="str">
        <f>IF(F212=$S$15,$T$11,IF(ROUNDDOWN(F212,0)=$S$11,$U$11,$T$11))</f>
        <v>　レベル　2</v>
      </c>
      <c r="G214" s="1065" t="s">
        <v>3142</v>
      </c>
      <c r="H214" s="1067"/>
      <c r="I214" s="1065" t="s">
        <v>3143</v>
      </c>
      <c r="J214" s="1067"/>
      <c r="K214" s="1061" t="str">
        <f>IF(K212=$S$15,$T$11,IF(ROUNDDOWN(K212,0)=$S$11,$U$11,$T$11))</f>
        <v>　レベル　2</v>
      </c>
      <c r="L214" s="1065" t="s">
        <v>2365</v>
      </c>
      <c r="M214" s="1206"/>
      <c r="N214" s="1206"/>
      <c r="O214" s="1067"/>
    </row>
    <row r="215" spans="2:15" ht="15.75">
      <c r="B215" s="1">
        <v>3</v>
      </c>
      <c r="C215" s="1">
        <v>3</v>
      </c>
      <c r="D215" s="1025"/>
      <c r="E215" s="1276"/>
      <c r="F215" s="1061" t="str">
        <f>IF(F212=$S$15,$T$12,IF(ROUNDDOWN(F212,0)=$S$12,$U$12,$T$12))</f>
        <v>■レベル　3</v>
      </c>
      <c r="G215" s="1065" t="s">
        <v>3144</v>
      </c>
      <c r="H215" s="1067"/>
      <c r="I215" s="1065" t="s">
        <v>3145</v>
      </c>
      <c r="J215" s="1067"/>
      <c r="K215" s="1061" t="str">
        <f>IF(K212=$S$15,$T$12,IF(ROUNDDOWN(K212,0)=$S$12,$U$12,$T$12))</f>
        <v>■レベル　3</v>
      </c>
      <c r="L215" s="1065" t="s">
        <v>3146</v>
      </c>
      <c r="M215" s="1206"/>
      <c r="N215" s="1206"/>
      <c r="O215" s="1067"/>
    </row>
    <row r="216" spans="2:15" ht="55.5" customHeight="1">
      <c r="B216" s="1">
        <v>4</v>
      </c>
      <c r="C216" s="1">
        <v>4</v>
      </c>
      <c r="D216" s="1025"/>
      <c r="E216" s="1276"/>
      <c r="F216" s="1061" t="str">
        <f>IF(F212=$S$15,$T$13,IF(ROUNDDOWN(F212,0)=$S$13,$U$13,$T$13))</f>
        <v>　レベル　4</v>
      </c>
      <c r="G216" s="1065" t="s">
        <v>1669</v>
      </c>
      <c r="H216" s="1067"/>
      <c r="I216" s="1065" t="s">
        <v>1277</v>
      </c>
      <c r="J216" s="1067"/>
      <c r="K216" s="1061" t="str">
        <f>IF(K212=$S$15,$T$13,IF(ROUNDDOWN(K212,0)=$S$13,$U$13,$T$13))</f>
        <v>　レベル　4</v>
      </c>
      <c r="L216" s="2900" t="s">
        <v>1670</v>
      </c>
      <c r="M216" s="2934"/>
      <c r="N216" s="2934"/>
      <c r="O216" s="2935"/>
    </row>
    <row r="217" spans="2:15" ht="55.5" customHeight="1">
      <c r="B217" s="1">
        <v>5</v>
      </c>
      <c r="C217" s="1">
        <v>5</v>
      </c>
      <c r="D217" s="1025"/>
      <c r="E217" s="1276"/>
      <c r="F217" s="1072" t="str">
        <f>IF(F212=$S$15,$T$14,IF(ROUNDDOWN(F212,0)=$S$14,$U$14,$T$14))</f>
        <v>　レベル　5</v>
      </c>
      <c r="G217" s="1076" t="s">
        <v>1278</v>
      </c>
      <c r="H217" s="1078"/>
      <c r="I217" s="1076" t="s">
        <v>1671</v>
      </c>
      <c r="J217" s="1078"/>
      <c r="K217" s="1072" t="str">
        <f>IF(K212=$S$15,$T$14,IF(ROUNDDOWN(K212,0)=$S$14,$U$14,$T$14))</f>
        <v>　レベル　5</v>
      </c>
      <c r="L217" s="2898" t="s">
        <v>1672</v>
      </c>
      <c r="M217" s="2944"/>
      <c r="N217" s="2944"/>
      <c r="O217" s="2945"/>
    </row>
    <row r="218" spans="2:15" ht="15.75">
      <c r="B218" s="1079">
        <v>0</v>
      </c>
      <c r="C218" s="1079">
        <v>0</v>
      </c>
      <c r="D218" s="1025"/>
      <c r="E218" s="1025"/>
      <c r="F218" s="1160"/>
      <c r="G218" s="1160"/>
      <c r="H218" s="1160"/>
      <c r="I218" s="1160"/>
      <c r="J218" s="1160"/>
      <c r="K218" s="1160"/>
      <c r="L218" s="1160"/>
      <c r="M218" s="1160"/>
      <c r="N218" s="1160"/>
      <c r="O218" s="1160"/>
    </row>
    <row r="219" spans="2:15" ht="15.75">
      <c r="D219" s="1025"/>
      <c r="E219" s="1025"/>
      <c r="F219" s="1204" t="s">
        <v>2482</v>
      </c>
      <c r="G219" s="1116"/>
      <c r="H219" s="1165"/>
      <c r="I219" s="1145"/>
      <c r="J219" s="1119" t="str">
        <f>IF(OR(F221=0,J220=0),$R$3,"")</f>
        <v/>
      </c>
      <c r="K219" s="1204" t="s">
        <v>429</v>
      </c>
      <c r="L219" s="1116"/>
      <c r="M219" s="1165"/>
      <c r="N219" s="1145"/>
      <c r="O219" s="1119" t="str">
        <f>IF(OR(K221=0,O220=0),$R$3,"")</f>
        <v/>
      </c>
    </row>
    <row r="220" spans="2:15" ht="15.75" customHeight="1" thickBot="1">
      <c r="D220" s="1025"/>
      <c r="E220" s="1352"/>
      <c r="F220" s="1042"/>
      <c r="G220" s="1043"/>
      <c r="H220" s="1044"/>
      <c r="I220" s="1045" t="s">
        <v>1484</v>
      </c>
      <c r="J220" s="1048">
        <f>重み!M84</f>
        <v>0.2</v>
      </c>
      <c r="K220" s="1042"/>
      <c r="L220" s="1043"/>
      <c r="M220" s="1044"/>
      <c r="N220" s="1045" t="s">
        <v>1484</v>
      </c>
      <c r="O220" s="1048">
        <f>重み!M85</f>
        <v>0.2</v>
      </c>
    </row>
    <row r="221" spans="2:15" ht="15.75" customHeight="1" thickBot="1">
      <c r="D221" s="1025"/>
      <c r="E221" s="1352"/>
      <c r="F221" s="1049">
        <v>3</v>
      </c>
      <c r="G221" s="1166" t="s">
        <v>1632</v>
      </c>
      <c r="H221" s="1055"/>
      <c r="I221" s="1054"/>
      <c r="J221" s="1055"/>
      <c r="K221" s="1049">
        <v>3</v>
      </c>
      <c r="L221" s="1166" t="s">
        <v>1632</v>
      </c>
      <c r="M221" s="1055"/>
      <c r="N221" s="1166"/>
      <c r="O221" s="1171"/>
    </row>
    <row r="222" spans="2:15" ht="15.75" customHeight="1">
      <c r="B222" s="1267" t="s">
        <v>1637</v>
      </c>
      <c r="C222" s="1">
        <v>1</v>
      </c>
      <c r="D222" s="1025"/>
      <c r="E222" s="1276"/>
      <c r="F222" s="1056" t="str">
        <f>IF(F221=$S$15,$T$10,IF(ROUNDDOWN(F221,0)=$S$10,$U$10,$T$10))</f>
        <v>　レベル　1</v>
      </c>
      <c r="G222" s="1065" t="s">
        <v>2365</v>
      </c>
      <c r="H222" s="1350"/>
      <c r="I222" s="1350"/>
      <c r="J222" s="1060"/>
      <c r="K222" s="1056" t="str">
        <f>IF(K221=$S$15,$T$10,IF(ROUNDDOWN(K221,0)=$S$10,$U$10,$T$10))</f>
        <v>　レベル　1</v>
      </c>
      <c r="L222" s="1058" t="s">
        <v>430</v>
      </c>
      <c r="M222" s="1350"/>
      <c r="N222" s="1350"/>
      <c r="O222" s="1060"/>
    </row>
    <row r="223" spans="2:15" ht="15.75">
      <c r="B223" s="1" t="s">
        <v>1637</v>
      </c>
      <c r="C223" s="1">
        <v>2</v>
      </c>
      <c r="D223" s="1025"/>
      <c r="E223" s="1276"/>
      <c r="F223" s="1061" t="str">
        <f>IF(F221=$S$15,$T$11,IF(ROUNDDOWN(F221,0)=$S$11,$U$11,$T$11))</f>
        <v>　レベル　2</v>
      </c>
      <c r="G223" s="1065" t="s">
        <v>2365</v>
      </c>
      <c r="H223" s="1206"/>
      <c r="I223" s="1206"/>
      <c r="J223" s="1067"/>
      <c r="K223" s="1061" t="str">
        <f>IF(K221=$S$15,$T$11,IF(ROUNDDOWN(K221,0)=$S$11,$U$11,$T$11))</f>
        <v>　レベル　2</v>
      </c>
      <c r="L223" s="1065" t="s">
        <v>2483</v>
      </c>
      <c r="M223" s="1206"/>
      <c r="N223" s="1206"/>
      <c r="O223" s="1067"/>
    </row>
    <row r="224" spans="2:15" ht="15.75">
      <c r="B224" s="1">
        <v>3</v>
      </c>
      <c r="C224" s="1">
        <v>3</v>
      </c>
      <c r="D224" s="1025"/>
      <c r="E224" s="1276"/>
      <c r="F224" s="1061" t="str">
        <f>IF(F221=$S$15,$T$12,IF(ROUNDDOWN(F221,0)=$S$12,$U$12,$T$12))</f>
        <v>■レベル　3</v>
      </c>
      <c r="G224" s="1065" t="s">
        <v>2484</v>
      </c>
      <c r="H224" s="1206"/>
      <c r="I224" s="1206"/>
      <c r="J224" s="1067"/>
      <c r="K224" s="1061" t="str">
        <f>IF(K221=$S$15,$T$12,IF(ROUNDDOWN(K221,0)=$S$12,$U$12,$T$12))</f>
        <v>■レベル　3</v>
      </c>
      <c r="L224" s="1065" t="s">
        <v>2485</v>
      </c>
      <c r="M224" s="1206"/>
      <c r="N224" s="1206"/>
      <c r="O224" s="1067"/>
    </row>
    <row r="225" spans="2:15" ht="15.75">
      <c r="B225" s="1267">
        <v>4</v>
      </c>
      <c r="C225" s="1">
        <v>4</v>
      </c>
      <c r="D225" s="1025"/>
      <c r="E225" s="1276"/>
      <c r="F225" s="1061" t="str">
        <f>IF(F221=$S$15,$T$13,IF(ROUNDDOWN(F221,0)=$S$13,$U$13,$T$13))</f>
        <v>　レベル　4</v>
      </c>
      <c r="G225" s="1065" t="s">
        <v>1791</v>
      </c>
      <c r="H225" s="1206"/>
      <c r="I225" s="1206"/>
      <c r="J225" s="1067"/>
      <c r="K225" s="1061" t="str">
        <f>IF(K221=$S$15,$T$13,IF(ROUNDDOWN(K221,0)=$S$13,$U$13,$T$13))</f>
        <v>　レベル　4</v>
      </c>
      <c r="L225" s="1065" t="s">
        <v>1792</v>
      </c>
      <c r="M225" s="1206"/>
      <c r="N225" s="1206"/>
      <c r="O225" s="1067"/>
    </row>
    <row r="226" spans="2:15" ht="16.5" customHeight="1">
      <c r="B226" s="1267">
        <v>5</v>
      </c>
      <c r="C226" s="1">
        <v>5</v>
      </c>
      <c r="D226" s="1025"/>
      <c r="E226" s="1276"/>
      <c r="F226" s="1072" t="str">
        <f>IF(F221=$S$15,$T$14,IF(ROUNDDOWN(F221,0)=$S$14,$U$14,$T$14))</f>
        <v>　レベル　5</v>
      </c>
      <c r="G226" s="1076" t="s">
        <v>1706</v>
      </c>
      <c r="H226" s="1199"/>
      <c r="I226" s="1199"/>
      <c r="J226" s="1078"/>
      <c r="K226" s="1072" t="str">
        <f>IF(K221=$S$15,$T$14,IF(ROUNDDOWN(K221,0)=$S$14,$U$14,$T$14))</f>
        <v>　レベル　5</v>
      </c>
      <c r="L226" s="1076" t="s">
        <v>1707</v>
      </c>
      <c r="M226" s="1199"/>
      <c r="N226" s="1199"/>
      <c r="O226" s="1078"/>
    </row>
    <row r="227" spans="2:15" ht="15.75">
      <c r="B227" s="1079">
        <v>0</v>
      </c>
      <c r="C227" s="1079">
        <v>0</v>
      </c>
      <c r="D227" s="1025"/>
      <c r="E227" s="1025"/>
      <c r="F227" s="1160"/>
      <c r="G227" s="1160"/>
      <c r="H227" s="1160"/>
      <c r="I227" s="1160"/>
      <c r="J227" s="1160"/>
      <c r="K227" s="1160"/>
      <c r="L227" s="1160"/>
      <c r="M227" s="1160"/>
      <c r="N227" s="1160"/>
      <c r="O227" s="1160"/>
    </row>
    <row r="228" spans="2:15" ht="15.75">
      <c r="D228" s="1465">
        <v>2.2999999999999998</v>
      </c>
      <c r="E228" s="1263" t="s">
        <v>872</v>
      </c>
      <c r="F228" s="1272"/>
      <c r="G228" s="1115" t="s">
        <v>1708</v>
      </c>
      <c r="H228" s="1115"/>
      <c r="I228" s="1115"/>
      <c r="J228" s="1115"/>
      <c r="K228" s="1236"/>
      <c r="L228" s="1236"/>
      <c r="M228" s="1236"/>
      <c r="N228" s="1236"/>
      <c r="O228" s="1351"/>
    </row>
    <row r="229" spans="2:15" ht="15.75" hidden="1">
      <c r="B229" s="1234" t="s">
        <v>1709</v>
      </c>
      <c r="D229" s="1465"/>
      <c r="E229" s="1263"/>
      <c r="F229" s="1204" t="s">
        <v>431</v>
      </c>
      <c r="G229" s="1116"/>
      <c r="H229" s="1165"/>
      <c r="I229" s="1145"/>
      <c r="J229" s="1119" t="str">
        <f>IF(OR(F231=0,J230=0),$R$3,"")</f>
        <v>&lt;評価しない&gt;</v>
      </c>
      <c r="K229" s="1204" t="s">
        <v>432</v>
      </c>
      <c r="L229" s="1116"/>
      <c r="M229" s="1165"/>
      <c r="N229" s="1145"/>
      <c r="O229" s="1119" t="str">
        <f>IF(OR(K231=0,O230=0),$R$3,"")</f>
        <v>&lt;評価しない&gt;</v>
      </c>
    </row>
    <row r="230" spans="2:15" ht="16.5" hidden="1" thickBot="1">
      <c r="D230" s="1465"/>
      <c r="E230" s="1263"/>
      <c r="F230" s="1042" t="s">
        <v>3090</v>
      </c>
      <c r="G230" s="1043"/>
      <c r="H230" s="1044"/>
      <c r="I230" s="1045" t="s">
        <v>433</v>
      </c>
      <c r="J230" s="1048">
        <f>重み!M87</f>
        <v>0</v>
      </c>
      <c r="K230" s="1042" t="s">
        <v>3090</v>
      </c>
      <c r="L230" s="1043"/>
      <c r="M230" s="1044"/>
      <c r="N230" s="1045" t="s">
        <v>433</v>
      </c>
      <c r="O230" s="1048">
        <f>重み!M88</f>
        <v>0</v>
      </c>
    </row>
    <row r="231" spans="2:15" ht="16.5" hidden="1" thickBot="1">
      <c r="D231" s="1465"/>
      <c r="E231" s="1263"/>
      <c r="F231" s="1049">
        <v>3</v>
      </c>
      <c r="G231" s="1166" t="s">
        <v>434</v>
      </c>
      <c r="H231" s="1055"/>
      <c r="I231" s="1054"/>
      <c r="J231" s="1055"/>
      <c r="K231" s="1049">
        <v>3</v>
      </c>
      <c r="L231" s="1166" t="s">
        <v>434</v>
      </c>
      <c r="M231" s="1055"/>
      <c r="N231" s="1166"/>
      <c r="O231" s="1171"/>
    </row>
    <row r="232" spans="2:15" ht="15.75" hidden="1" customHeight="1">
      <c r="B232" s="1">
        <v>1</v>
      </c>
      <c r="C232" s="1">
        <v>1</v>
      </c>
      <c r="D232" s="1465"/>
      <c r="E232" s="1263"/>
      <c r="F232" s="1056" t="str">
        <f>IF(F231=$S$15,$T$10,IF(ROUNDDOWN(F231,0)=$S$10,$U$10,$T$10))</f>
        <v>　レベル　1</v>
      </c>
      <c r="G232" s="2684" t="s">
        <v>1710</v>
      </c>
      <c r="H232" s="1350"/>
      <c r="I232" s="1350"/>
      <c r="J232" s="1060"/>
      <c r="K232" s="1056" t="str">
        <f>IF(K231=$S$15,$T$10,IF(ROUNDDOWN(K231,0)=$S$10,$U$10,$T$10))</f>
        <v>　レベル　1</v>
      </c>
      <c r="L232" s="2896" t="s">
        <v>1710</v>
      </c>
      <c r="M232" s="3007"/>
      <c r="N232" s="3007"/>
      <c r="O232" s="3008"/>
    </row>
    <row r="233" spans="2:15" ht="15.75" hidden="1" customHeight="1">
      <c r="B233" s="1">
        <v>2</v>
      </c>
      <c r="C233" s="1">
        <v>2</v>
      </c>
      <c r="D233" s="1465"/>
      <c r="E233" s="1263"/>
      <c r="F233" s="1061" t="str">
        <f>IF(F231=$S$15,$T$11,IF(ROUNDDOWN(F231,0)=$S$11,$U$11,$T$11))</f>
        <v>　レベル　2</v>
      </c>
      <c r="G233" s="2684" t="s">
        <v>1711</v>
      </c>
      <c r="H233" s="1206"/>
      <c r="I233" s="1206"/>
      <c r="J233" s="1067"/>
      <c r="K233" s="1061" t="str">
        <f>IF(K231=$S$15,$T$11,IF(ROUNDDOWN(K231,0)=$S$11,$U$11,$T$11))</f>
        <v>　レベル　2</v>
      </c>
      <c r="L233" s="2900" t="s">
        <v>1711</v>
      </c>
      <c r="M233" s="2934"/>
      <c r="N233" s="2934"/>
      <c r="O233" s="2935"/>
    </row>
    <row r="234" spans="2:15" ht="15.75" hidden="1" customHeight="1">
      <c r="B234" s="1">
        <v>3</v>
      </c>
      <c r="C234" s="1">
        <v>3</v>
      </c>
      <c r="D234" s="1465"/>
      <c r="E234" s="1263"/>
      <c r="F234" s="1061" t="str">
        <f>IF(F231=$S$15,$T$12,IF(ROUNDDOWN(F231,0)=$S$12,$U$12,$T$12))</f>
        <v>■レベル　3</v>
      </c>
      <c r="G234" s="2684" t="s">
        <v>3322</v>
      </c>
      <c r="H234" s="1206"/>
      <c r="I234" s="1206"/>
      <c r="J234" s="1067"/>
      <c r="K234" s="1061" t="str">
        <f>IF(K231=$S$15,$T$12,IF(ROUNDDOWN(K231,0)=$S$12,$U$12,$T$12))</f>
        <v>■レベル　3</v>
      </c>
      <c r="L234" s="2900" t="s">
        <v>3323</v>
      </c>
      <c r="M234" s="2934"/>
      <c r="N234" s="2934"/>
      <c r="O234" s="2935"/>
    </row>
    <row r="235" spans="2:15" ht="15.75" hidden="1" customHeight="1">
      <c r="B235" s="1" t="s">
        <v>435</v>
      </c>
      <c r="C235" s="1" t="s">
        <v>435</v>
      </c>
      <c r="D235" s="1465"/>
      <c r="E235" s="1263"/>
      <c r="F235" s="1061" t="str">
        <f>IF(F231=$S$15,$T$13,IF(ROUNDDOWN(F231,0)=$S$13,$U$13,$T$13))</f>
        <v>　レベル　4</v>
      </c>
      <c r="G235" s="2900" t="s">
        <v>2365</v>
      </c>
      <c r="H235" s="2934"/>
      <c r="I235" s="2934"/>
      <c r="J235" s="2935"/>
      <c r="K235" s="1061" t="str">
        <f>IF(K231=$S$15,$T$13,IF(ROUNDDOWN(K231,0)=$S$13,$U$13,$T$13))</f>
        <v>　レベル　4</v>
      </c>
      <c r="L235" s="2900" t="s">
        <v>2365</v>
      </c>
      <c r="M235" s="2934"/>
      <c r="N235" s="2934"/>
      <c r="O235" s="2935"/>
    </row>
    <row r="236" spans="2:15" ht="15.75" hidden="1" customHeight="1">
      <c r="B236" s="1">
        <v>5</v>
      </c>
      <c r="C236" s="1">
        <v>5</v>
      </c>
      <c r="D236" s="1465"/>
      <c r="E236" s="1263"/>
      <c r="F236" s="1072" t="str">
        <f>IF(F231=$S$15,$T$14,IF(ROUNDDOWN(F231,0)=$S$14,$U$14,$T$14))</f>
        <v>　レベル　5</v>
      </c>
      <c r="G236" s="2682" t="s">
        <v>1712</v>
      </c>
      <c r="H236" s="1199"/>
      <c r="I236" s="1199"/>
      <c r="J236" s="1078"/>
      <c r="K236" s="1072" t="str">
        <f>IF(K231=$S$15,$T$14,IF(ROUNDDOWN(K231,0)=$S$14,$U$14,$T$14))</f>
        <v>　レベル　5</v>
      </c>
      <c r="L236" s="2898" t="s">
        <v>1712</v>
      </c>
      <c r="M236" s="2944"/>
      <c r="N236" s="2944"/>
      <c r="O236" s="2945"/>
    </row>
    <row r="237" spans="2:15" ht="15.75" hidden="1">
      <c r="B237" s="1079">
        <v>0</v>
      </c>
      <c r="C237" s="1079">
        <v>0</v>
      </c>
      <c r="D237" s="1465"/>
      <c r="E237" s="1263"/>
      <c r="F237" s="1284"/>
      <c r="G237" s="1284"/>
      <c r="H237" s="1284"/>
      <c r="I237" s="1284"/>
      <c r="J237" s="1284"/>
      <c r="K237" s="1284"/>
      <c r="L237" s="1284"/>
      <c r="M237" s="1284"/>
      <c r="N237" s="1284"/>
      <c r="O237" s="1284"/>
    </row>
    <row r="238" spans="2:15" ht="15.75" hidden="1">
      <c r="B238" s="1234" t="s">
        <v>1709</v>
      </c>
      <c r="D238" s="1465"/>
      <c r="E238" s="1263"/>
      <c r="F238" s="1204" t="s">
        <v>436</v>
      </c>
      <c r="G238" s="1116"/>
      <c r="H238" s="1165"/>
      <c r="I238" s="1145"/>
      <c r="J238" s="1119" t="str">
        <f>IF(OR(F240=0,J239=0),$R$3,"")</f>
        <v>&lt;評価しない&gt;</v>
      </c>
      <c r="K238" s="1284"/>
      <c r="L238" s="1284"/>
      <c r="M238" s="1284"/>
      <c r="N238" s="1284"/>
      <c r="O238" s="1284"/>
    </row>
    <row r="239" spans="2:15" ht="16.5" hidden="1" thickBot="1">
      <c r="D239" s="1465"/>
      <c r="E239" s="1263"/>
      <c r="F239" s="1042" t="s">
        <v>3090</v>
      </c>
      <c r="G239" s="1043"/>
      <c r="H239" s="1044"/>
      <c r="I239" s="1045" t="s">
        <v>433</v>
      </c>
      <c r="J239" s="1048">
        <f>重み!M89</f>
        <v>0</v>
      </c>
      <c r="K239" s="1284"/>
      <c r="L239" s="1284"/>
      <c r="M239" s="1284"/>
      <c r="N239" s="1284"/>
      <c r="O239" s="1284"/>
    </row>
    <row r="240" spans="2:15" ht="16.5" hidden="1" thickBot="1">
      <c r="D240" s="1465"/>
      <c r="E240" s="1263"/>
      <c r="F240" s="1049">
        <v>3</v>
      </c>
      <c r="G240" s="1166" t="s">
        <v>434</v>
      </c>
      <c r="H240" s="1055"/>
      <c r="I240" s="1054"/>
      <c r="J240" s="1055"/>
      <c r="K240" s="1284"/>
      <c r="L240" s="1284"/>
      <c r="M240" s="1284"/>
      <c r="N240" s="1284"/>
      <c r="O240" s="1284"/>
    </row>
    <row r="241" spans="2:15" ht="15.75" hidden="1" customHeight="1">
      <c r="B241" s="1">
        <v>1</v>
      </c>
      <c r="C241" s="1">
        <v>1</v>
      </c>
      <c r="D241" s="1465"/>
      <c r="E241" s="1263"/>
      <c r="F241" s="1056" t="str">
        <f>IF(F240=$S$15,$T$10,IF(ROUNDDOWN(F240,0)=$S$10,$U$10,$T$10))</f>
        <v>　レベル　1</v>
      </c>
      <c r="G241" s="2896" t="s">
        <v>1710</v>
      </c>
      <c r="H241" s="3007"/>
      <c r="I241" s="3007"/>
      <c r="J241" s="3008"/>
      <c r="K241" s="1284"/>
      <c r="L241" s="1284"/>
      <c r="M241" s="1284"/>
      <c r="N241" s="1284"/>
      <c r="O241" s="1284"/>
    </row>
    <row r="242" spans="2:15" ht="15.75" hidden="1" customHeight="1">
      <c r="B242" s="1">
        <v>2</v>
      </c>
      <c r="C242" s="1">
        <v>2</v>
      </c>
      <c r="D242" s="1465"/>
      <c r="E242" s="1263"/>
      <c r="F242" s="1061" t="str">
        <f>IF(F240=$S$15,$T$11,IF(ROUNDDOWN(F240,0)=$S$11,$U$11,$T$11))</f>
        <v>　レベル　2</v>
      </c>
      <c r="G242" s="2900" t="s">
        <v>1711</v>
      </c>
      <c r="H242" s="2934"/>
      <c r="I242" s="2934"/>
      <c r="J242" s="2935"/>
      <c r="K242" s="1284"/>
      <c r="L242" s="1284"/>
      <c r="M242" s="1284"/>
      <c r="N242" s="1284"/>
      <c r="O242" s="1284"/>
    </row>
    <row r="243" spans="2:15" ht="15.75" hidden="1" customHeight="1">
      <c r="B243" s="1">
        <v>3</v>
      </c>
      <c r="C243" s="1">
        <v>3</v>
      </c>
      <c r="D243" s="1465"/>
      <c r="E243" s="1263"/>
      <c r="F243" s="1061" t="str">
        <f>IF(F240=$S$15,$T$12,IF(ROUNDDOWN(F240,0)=$S$12,$U$12,$T$12))</f>
        <v>■レベル　3</v>
      </c>
      <c r="G243" s="2900" t="s">
        <v>3323</v>
      </c>
      <c r="H243" s="2934"/>
      <c r="I243" s="2934"/>
      <c r="J243" s="2935"/>
      <c r="K243" s="1284"/>
      <c r="L243" s="1284"/>
      <c r="M243" s="1284"/>
      <c r="N243" s="1284"/>
      <c r="O243" s="1284"/>
    </row>
    <row r="244" spans="2:15" ht="15.75" hidden="1" customHeight="1">
      <c r="B244" s="1" t="s">
        <v>435</v>
      </c>
      <c r="C244" s="1">
        <v>4</v>
      </c>
      <c r="D244" s="1465"/>
      <c r="E244" s="1263"/>
      <c r="F244" s="1061" t="str">
        <f>IF(F240=$S$15,$T$13,IF(ROUNDDOWN(F240,0)=$S$13,$U$13,$T$13))</f>
        <v>　レベル　4</v>
      </c>
      <c r="G244" s="2900" t="s">
        <v>2365</v>
      </c>
      <c r="H244" s="2934"/>
      <c r="I244" s="2934"/>
      <c r="J244" s="2935"/>
      <c r="K244" s="1284"/>
      <c r="L244" s="1284"/>
      <c r="M244" s="1284"/>
      <c r="N244" s="1284"/>
      <c r="O244" s="1284"/>
    </row>
    <row r="245" spans="2:15" ht="15.75" hidden="1" customHeight="1">
      <c r="B245" s="1">
        <v>5</v>
      </c>
      <c r="C245" s="1">
        <v>5</v>
      </c>
      <c r="D245" s="1465"/>
      <c r="E245" s="1263"/>
      <c r="F245" s="1072" t="str">
        <f>IF(F240=$S$15,$T$14,IF(ROUNDDOWN(F240,0)=$S$14,$U$14,$T$14))</f>
        <v>　レベル　5</v>
      </c>
      <c r="G245" s="2898" t="s">
        <v>3324</v>
      </c>
      <c r="H245" s="2944"/>
      <c r="I245" s="2944"/>
      <c r="J245" s="2945"/>
      <c r="K245" s="1284"/>
      <c r="L245" s="1284"/>
      <c r="M245" s="1284"/>
      <c r="N245" s="1284"/>
      <c r="O245" s="1284"/>
    </row>
    <row r="246" spans="2:15" ht="15.75">
      <c r="B246" s="1079">
        <v>0</v>
      </c>
      <c r="C246" s="1079">
        <v>0</v>
      </c>
      <c r="D246" s="1465"/>
      <c r="E246" s="1263"/>
      <c r="F246" s="1272"/>
      <c r="G246" s="1115"/>
      <c r="H246" s="1115"/>
      <c r="I246" s="1115"/>
      <c r="J246" s="1115"/>
      <c r="K246" s="1236"/>
      <c r="L246" s="1236"/>
      <c r="M246" s="1236"/>
      <c r="N246" s="1236"/>
      <c r="O246" s="1351"/>
    </row>
    <row r="247" spans="2:15" ht="15.75">
      <c r="D247" s="1465">
        <v>2.4</v>
      </c>
      <c r="E247" s="1263" t="s">
        <v>86</v>
      </c>
      <c r="F247" s="1272"/>
      <c r="G247" s="1273"/>
      <c r="H247" s="1273"/>
      <c r="I247" s="1273"/>
      <c r="J247" s="1273"/>
      <c r="K247" s="1272"/>
      <c r="L247" s="1272"/>
      <c r="M247" s="1272"/>
      <c r="N247" s="1272"/>
      <c r="O247" s="1272"/>
    </row>
    <row r="248" spans="2:15" ht="15.75">
      <c r="D248" s="1465"/>
      <c r="E248" s="1263"/>
      <c r="F248" s="1204" t="s">
        <v>437</v>
      </c>
      <c r="G248" s="1273"/>
      <c r="H248" s="1273"/>
      <c r="I248" s="1273"/>
      <c r="J248" s="1273"/>
      <c r="K248" s="1272"/>
      <c r="L248" s="1272"/>
      <c r="M248" s="1272"/>
      <c r="N248" s="1272"/>
      <c r="O248" s="1272"/>
    </row>
    <row r="249" spans="2:15" ht="16.5" thickBot="1">
      <c r="D249" s="1025"/>
      <c r="E249" s="1030"/>
      <c r="F249" s="1185"/>
      <c r="G249" s="1043"/>
      <c r="H249" s="1044"/>
      <c r="I249" s="1045" t="s">
        <v>1484</v>
      </c>
      <c r="J249" s="1046">
        <f>重み!M91</f>
        <v>0.2</v>
      </c>
      <c r="K249" s="1186"/>
      <c r="L249" s="1188"/>
      <c r="M249" s="1081"/>
      <c r="N249" s="1081"/>
      <c r="O249" s="1353"/>
    </row>
    <row r="250" spans="2:15" ht="16.5" thickBot="1">
      <c r="D250" s="1025"/>
      <c r="E250" s="1030"/>
      <c r="F250" s="1281">
        <f>IF(K259&lt;&gt;0,ROUND((K260*K259)/K259,1),ROUND((G260*G259+I260*I259)/(G259+I259),1))</f>
        <v>3</v>
      </c>
      <c r="G250" s="1252" t="s">
        <v>438</v>
      </c>
      <c r="H250" s="1354"/>
      <c r="I250" s="1166" t="s">
        <v>439</v>
      </c>
      <c r="J250" s="1355"/>
      <c r="K250" s="2903" t="s">
        <v>440</v>
      </c>
      <c r="L250" s="2997"/>
      <c r="M250" s="1081"/>
      <c r="N250" s="1081"/>
      <c r="O250" s="1081"/>
    </row>
    <row r="251" spans="2:15" ht="15.75">
      <c r="D251" s="1025"/>
      <c r="E251" s="1030"/>
      <c r="F251" s="1056" t="str">
        <f>IF(F250=$S$15,$T$10,IF(ROUNDDOWN(F250,0)=$S$10,$U$10,$T$10))</f>
        <v>　レベル　1</v>
      </c>
      <c r="G251" s="2896" t="s">
        <v>441</v>
      </c>
      <c r="H251" s="2902"/>
      <c r="I251" s="2896" t="s">
        <v>903</v>
      </c>
      <c r="J251" s="2914"/>
      <c r="K251" s="2896" t="s">
        <v>2365</v>
      </c>
      <c r="L251" s="2902"/>
      <c r="M251" s="1145"/>
      <c r="N251" s="1145"/>
      <c r="O251" s="1145"/>
    </row>
    <row r="252" spans="2:15" ht="15.75">
      <c r="D252" s="1025"/>
      <c r="E252" s="1030"/>
      <c r="F252" s="1061" t="str">
        <f>IF(F250=$S$15,$T$11,IF(ROUNDDOWN(F250,0)=$S$11,$U$11,$T$11))</f>
        <v>　レベル　2</v>
      </c>
      <c r="G252" s="2900" t="s">
        <v>2365</v>
      </c>
      <c r="H252" s="2901"/>
      <c r="I252" s="2900" t="s">
        <v>2365</v>
      </c>
      <c r="J252" s="2901"/>
      <c r="K252" s="2900" t="s">
        <v>2365</v>
      </c>
      <c r="L252" s="2943"/>
      <c r="M252" s="1145"/>
      <c r="N252" s="1145"/>
      <c r="O252" s="1145"/>
    </row>
    <row r="253" spans="2:15" ht="37.5" customHeight="1">
      <c r="D253" s="1025"/>
      <c r="E253" s="1030"/>
      <c r="F253" s="1061" t="str">
        <f>IF(F250=$S$15,$T$12,IF(ROUNDDOWN(F250,0)=$S$12,$U$12,$T$12))</f>
        <v>■レベル　3</v>
      </c>
      <c r="G253" s="2900" t="s">
        <v>459</v>
      </c>
      <c r="H253" s="2901"/>
      <c r="I253" s="2900" t="s">
        <v>459</v>
      </c>
      <c r="J253" s="2901"/>
      <c r="K253" s="2900" t="s">
        <v>460</v>
      </c>
      <c r="L253" s="2943"/>
      <c r="M253" s="1145"/>
      <c r="N253" s="1145"/>
      <c r="O253" s="1145"/>
    </row>
    <row r="254" spans="2:15" ht="15.75">
      <c r="D254" s="1025"/>
      <c r="E254" s="1030"/>
      <c r="F254" s="1061" t="str">
        <f>IF(F250=$S$15,$T$13,IF(ROUNDDOWN(F250,0)=$S$13,$U$13,$T$13))</f>
        <v>　レベル　4</v>
      </c>
      <c r="G254" s="2900" t="s">
        <v>461</v>
      </c>
      <c r="H254" s="2901"/>
      <c r="I254" s="2900" t="s">
        <v>2365</v>
      </c>
      <c r="J254" s="2901"/>
      <c r="K254" s="2900" t="s">
        <v>462</v>
      </c>
      <c r="L254" s="2943"/>
      <c r="M254" s="1145"/>
      <c r="N254" s="1145"/>
      <c r="O254" s="1145"/>
    </row>
    <row r="255" spans="2:15" ht="15.75">
      <c r="D255" s="1025"/>
      <c r="E255" s="1030"/>
      <c r="F255" s="1072" t="str">
        <f>IF(F250=$S$15,$T$14,IF(ROUNDDOWN(F250,0)=$S$14,$U$14,$T$14))</f>
        <v>　レベル　5</v>
      </c>
      <c r="G255" s="2898" t="s">
        <v>463</v>
      </c>
      <c r="H255" s="2899"/>
      <c r="I255" s="2898" t="s">
        <v>464</v>
      </c>
      <c r="J255" s="2899"/>
      <c r="K255" s="2898" t="s">
        <v>465</v>
      </c>
      <c r="L255" s="2928"/>
      <c r="M255" s="1145"/>
      <c r="N255" s="1145"/>
      <c r="O255" s="1145"/>
    </row>
    <row r="256" spans="2:15" ht="16.5" thickBot="1">
      <c r="D256" s="1130"/>
      <c r="E256" s="1356"/>
      <c r="F256" s="1357" t="s">
        <v>466</v>
      </c>
      <c r="G256" s="1358"/>
      <c r="H256" s="1358"/>
      <c r="I256" s="1358"/>
      <c r="J256" s="1359"/>
      <c r="K256" s="1127"/>
      <c r="L256" s="1127"/>
      <c r="M256" s="1127"/>
      <c r="N256" s="1127"/>
      <c r="O256" s="1127"/>
    </row>
    <row r="257" spans="2:15" ht="16.5" thickBot="1">
      <c r="D257" s="1025"/>
      <c r="E257" s="1360"/>
      <c r="F257" s="1049">
        <v>3</v>
      </c>
      <c r="G257" s="1134" t="s">
        <v>2921</v>
      </c>
      <c r="H257" s="1135"/>
      <c r="I257" s="1361"/>
      <c r="J257" s="1222"/>
      <c r="K257" s="1081"/>
      <c r="L257" s="1081"/>
      <c r="M257" s="1081"/>
      <c r="N257" s="1081"/>
      <c r="O257" s="1081"/>
    </row>
    <row r="258" spans="2:15" ht="15.75">
      <c r="B258" s="1">
        <v>1</v>
      </c>
      <c r="C258" s="1">
        <v>1</v>
      </c>
      <c r="D258" s="1025"/>
      <c r="E258" s="1360"/>
      <c r="F258" s="1362" t="s">
        <v>467</v>
      </c>
      <c r="G258" s="1363" t="s">
        <v>468</v>
      </c>
      <c r="H258" s="1364"/>
      <c r="I258" s="1363" t="s">
        <v>469</v>
      </c>
      <c r="J258" s="1364"/>
      <c r="K258" s="3044" t="s">
        <v>470</v>
      </c>
      <c r="L258" s="2997"/>
      <c r="M258" s="1081"/>
      <c r="N258" s="1081"/>
      <c r="O258" s="1081"/>
    </row>
    <row r="259" spans="2:15" ht="15.75">
      <c r="B259" s="1" t="s">
        <v>2364</v>
      </c>
      <c r="C259" s="1">
        <v>2</v>
      </c>
      <c r="D259" s="1025"/>
      <c r="E259" s="577"/>
      <c r="F259" s="1365" t="s">
        <v>471</v>
      </c>
      <c r="G259" s="1366">
        <f>IF(メイン!J66&gt;=2000,メイン!J47+メイン!J57+メイン!J61+メイン!J62+メイン!J60,0)</f>
        <v>3000</v>
      </c>
      <c r="H259" s="1367"/>
      <c r="I259" s="1366">
        <f>IF(メイン!J66&gt;=2000,メイン!J49+メイン!J54+メイン!J56+メイン!J64,0)</f>
        <v>0</v>
      </c>
      <c r="J259" s="1367"/>
      <c r="K259" s="1366">
        <f>IF(メイン!J66&lt;2000,メイン!J66,0)</f>
        <v>0</v>
      </c>
      <c r="L259" s="1367"/>
      <c r="M259" s="1081"/>
      <c r="N259" s="1081"/>
      <c r="O259" s="1081"/>
    </row>
    <row r="260" spans="2:15" ht="16.5" thickBot="1">
      <c r="B260" s="1">
        <v>3</v>
      </c>
      <c r="C260" s="1">
        <v>3</v>
      </c>
      <c r="D260" s="1025"/>
      <c r="E260" s="577"/>
      <c r="F260" s="1368" t="s">
        <v>472</v>
      </c>
      <c r="G260" s="1369">
        <f>IF(H257=T4,F257,IF(COUNTIF(F261:F264,$S$3)&lt;1,1,IF(COUNTIF(F261:F264,$S$3)=1,3,IF(COUNTIF(F261:F264,$S$3)=2,4,IF(COUNTIF(F261:F264,$S$3)&gt;=3,5)))))</f>
        <v>3</v>
      </c>
      <c r="H260" s="1370"/>
      <c r="I260" s="1369">
        <f>IF(H257=T4,F257,IF(COUNTIF(F261:F264,$S$3)&lt;1,1,IF(COUNTIF(F261:F264,$S$3)=1,3,IF(COUNTIF(F261:F264,$S$3)&gt;=2,5))))</f>
        <v>3</v>
      </c>
      <c r="J260" s="1370"/>
      <c r="K260" s="1369">
        <f>IF(H257=T4,F257,IF(COUNTIF(F261:F264,$S$3)=1,4,IF(COUNTIF(F261:F264,$S$3)&gt;=2,5,3)))</f>
        <v>4</v>
      </c>
      <c r="L260" s="1370"/>
      <c r="M260" s="1081"/>
      <c r="N260" s="1081"/>
      <c r="O260" s="1081"/>
    </row>
    <row r="261" spans="2:15" ht="35.25" customHeight="1">
      <c r="B261" s="1">
        <v>4</v>
      </c>
      <c r="C261" s="1">
        <v>4</v>
      </c>
      <c r="D261" s="1025"/>
      <c r="E261" s="1360"/>
      <c r="F261" s="1371" t="s">
        <v>2926</v>
      </c>
      <c r="G261" s="3041" t="s">
        <v>656</v>
      </c>
      <c r="H261" s="3042"/>
      <c r="I261" s="3042"/>
      <c r="J261" s="3042"/>
      <c r="K261" s="3042"/>
      <c r="L261" s="3043"/>
      <c r="M261" s="1081"/>
      <c r="N261" s="1081"/>
      <c r="O261" s="1081"/>
    </row>
    <row r="262" spans="2:15" ht="30.75" customHeight="1">
      <c r="B262" s="1">
        <v>5</v>
      </c>
      <c r="C262" s="1">
        <v>5</v>
      </c>
      <c r="D262" s="1025"/>
      <c r="E262" s="577"/>
      <c r="F262" s="1374"/>
      <c r="G262" s="2966" t="s">
        <v>657</v>
      </c>
      <c r="H262" s="2967"/>
      <c r="I262" s="2967"/>
      <c r="J262" s="2967"/>
      <c r="K262" s="2967"/>
      <c r="L262" s="2968"/>
      <c r="M262" s="1081"/>
      <c r="N262" s="1081"/>
      <c r="O262" s="1081"/>
    </row>
    <row r="263" spans="2:15" ht="30.75" customHeight="1">
      <c r="B263" s="1079">
        <v>0</v>
      </c>
      <c r="C263" s="1079">
        <v>0</v>
      </c>
      <c r="D263" s="1025"/>
      <c r="E263" s="577"/>
      <c r="F263" s="1374"/>
      <c r="G263" s="2966" t="s">
        <v>658</v>
      </c>
      <c r="H263" s="2967"/>
      <c r="I263" s="2967"/>
      <c r="J263" s="2967"/>
      <c r="K263" s="2967"/>
      <c r="L263" s="2968"/>
      <c r="M263" s="1081"/>
      <c r="N263" s="1081"/>
      <c r="O263" s="1081"/>
    </row>
    <row r="264" spans="2:15" ht="35.25" customHeight="1" thickBot="1">
      <c r="D264" s="1025"/>
      <c r="E264" s="577"/>
      <c r="F264" s="1375"/>
      <c r="G264" s="2998" t="s">
        <v>659</v>
      </c>
      <c r="H264" s="3036"/>
      <c r="I264" s="3036"/>
      <c r="J264" s="3036"/>
      <c r="K264" s="3036"/>
      <c r="L264" s="3037"/>
      <c r="M264" s="1353"/>
      <c r="N264" s="1353"/>
      <c r="O264" s="1353"/>
    </row>
    <row r="265" spans="2:15" ht="15.75">
      <c r="D265" s="1025"/>
      <c r="E265" s="577"/>
      <c r="F265" s="1376"/>
      <c r="G265" s="1377"/>
      <c r="H265" s="1377"/>
      <c r="I265" s="1377"/>
      <c r="J265" s="1377"/>
      <c r="K265" s="1376"/>
      <c r="L265" s="1377"/>
      <c r="M265" s="1377"/>
      <c r="N265" s="1377"/>
      <c r="O265" s="1377"/>
    </row>
    <row r="266" spans="2:15" ht="15.75">
      <c r="D266" s="1025"/>
      <c r="E266" s="577"/>
      <c r="F266" s="1204" t="s">
        <v>660</v>
      </c>
      <c r="G266" s="1273"/>
      <c r="H266" s="1273"/>
      <c r="I266" s="1273"/>
      <c r="J266" s="1273"/>
      <c r="K266" s="1376"/>
      <c r="L266" s="1377"/>
      <c r="M266" s="1377"/>
      <c r="N266" s="1377"/>
      <c r="O266" s="1377"/>
    </row>
    <row r="267" spans="2:15" ht="16.5" thickBot="1">
      <c r="D267" s="1025"/>
      <c r="E267" s="577"/>
      <c r="F267" s="1185"/>
      <c r="G267" s="1043"/>
      <c r="H267" s="1044"/>
      <c r="I267" s="1045" t="s">
        <v>1484</v>
      </c>
      <c r="J267" s="1048">
        <f>重み!M92</f>
        <v>0.2</v>
      </c>
      <c r="K267" s="1376"/>
      <c r="L267" s="1377"/>
      <c r="M267" s="1377"/>
      <c r="N267" s="1377"/>
      <c r="O267" s="1377"/>
    </row>
    <row r="268" spans="2:15" ht="16.5" thickBot="1">
      <c r="D268" s="1025"/>
      <c r="E268" s="577"/>
      <c r="F268" s="1281">
        <f>ROUND((G278*G277+J278*J277)/(G277+J277),1)</f>
        <v>3</v>
      </c>
      <c r="G268" s="1252" t="s">
        <v>661</v>
      </c>
      <c r="H268" s="1354"/>
      <c r="I268" s="1166" t="s">
        <v>662</v>
      </c>
      <c r="J268" s="1355"/>
      <c r="K268" s="1376"/>
      <c r="L268" s="1377"/>
      <c r="M268" s="1377"/>
      <c r="N268" s="1377"/>
      <c r="O268" s="1377"/>
    </row>
    <row r="269" spans="2:15" ht="15.75" customHeight="1">
      <c r="D269" s="1025"/>
      <c r="E269" s="577"/>
      <c r="F269" s="1056" t="str">
        <f>IF(F268=$S$15,$T$10,IF(ROUNDDOWN(F268,0)=$S$10,$U$10,$T$10))</f>
        <v>　レベル　1</v>
      </c>
      <c r="G269" s="2896" t="s">
        <v>441</v>
      </c>
      <c r="H269" s="2902"/>
      <c r="I269" s="2896" t="s">
        <v>441</v>
      </c>
      <c r="J269" s="2914"/>
      <c r="K269" s="1376"/>
      <c r="L269" s="1377"/>
      <c r="M269" s="1377"/>
      <c r="N269" s="1377"/>
      <c r="O269" s="1377"/>
    </row>
    <row r="270" spans="2:15" ht="15.75" customHeight="1">
      <c r="D270" s="1025"/>
      <c r="E270" s="577"/>
      <c r="F270" s="1061" t="str">
        <f>IF(F268=$S$15,$T$11,IF(ROUNDDOWN(F268,0)=$S$11,$U$11,$T$11))</f>
        <v>　レベル　2</v>
      </c>
      <c r="G270" s="2900" t="s">
        <v>663</v>
      </c>
      <c r="H270" s="2901"/>
      <c r="I270" s="2900" t="s">
        <v>663</v>
      </c>
      <c r="J270" s="2901"/>
      <c r="K270" s="1376"/>
      <c r="L270" s="1377"/>
      <c r="M270" s="1377"/>
      <c r="N270" s="1377"/>
      <c r="O270" s="1377"/>
    </row>
    <row r="271" spans="2:15" ht="15.75" customHeight="1">
      <c r="D271" s="1025"/>
      <c r="E271" s="577"/>
      <c r="F271" s="1061" t="str">
        <f>IF(F268=$S$15,$T$12,IF(ROUNDDOWN(F268,0)=$S$12,$U$12,$T$12))</f>
        <v>■レベル　3</v>
      </c>
      <c r="G271" s="2900" t="s">
        <v>1936</v>
      </c>
      <c r="H271" s="2901"/>
      <c r="I271" s="2900" t="s">
        <v>1936</v>
      </c>
      <c r="J271" s="2901"/>
      <c r="K271" s="1376"/>
      <c r="L271" s="1377"/>
      <c r="M271" s="1377"/>
      <c r="N271" s="1377"/>
      <c r="O271" s="1377"/>
    </row>
    <row r="272" spans="2:15" ht="15.75">
      <c r="D272" s="1025"/>
      <c r="E272" s="577"/>
      <c r="F272" s="1061" t="str">
        <f>IF(F268=$S$15,$T$13,IF(ROUNDDOWN(F268,0)=$S$13,$U$13,$T$13))</f>
        <v>　レベル　4</v>
      </c>
      <c r="G272" s="2900" t="s">
        <v>37</v>
      </c>
      <c r="H272" s="2901"/>
      <c r="I272" s="2900" t="s">
        <v>2365</v>
      </c>
      <c r="J272" s="2901"/>
      <c r="K272" s="1376"/>
      <c r="L272" s="1377"/>
      <c r="M272" s="1377"/>
      <c r="N272" s="1377"/>
      <c r="O272" s="1377"/>
    </row>
    <row r="273" spans="2:15" ht="15.75" customHeight="1">
      <c r="D273" s="1025"/>
      <c r="E273" s="577"/>
      <c r="F273" s="1072" t="str">
        <f>IF(F268=$S$15,$T$14,IF(ROUNDDOWN(F268,0)=$S$14,$U$14,$T$14))</f>
        <v>　レベル　5</v>
      </c>
      <c r="G273" s="2898" t="s">
        <v>38</v>
      </c>
      <c r="H273" s="2899"/>
      <c r="I273" s="2898" t="s">
        <v>39</v>
      </c>
      <c r="J273" s="2899"/>
      <c r="K273" s="1376"/>
      <c r="L273" s="1377"/>
      <c r="M273" s="1377"/>
      <c r="N273" s="1377"/>
      <c r="O273" s="1377"/>
    </row>
    <row r="274" spans="2:15" ht="16.5" thickBot="1">
      <c r="D274" s="1025"/>
      <c r="E274" s="577"/>
      <c r="F274" s="1357" t="s">
        <v>2933</v>
      </c>
      <c r="G274" s="1359"/>
      <c r="H274" s="1358"/>
      <c r="I274" s="1359"/>
      <c r="J274" s="1358"/>
      <c r="K274" s="1376"/>
      <c r="L274" s="1377"/>
      <c r="M274" s="1377"/>
      <c r="N274" s="1377"/>
      <c r="O274" s="1377"/>
    </row>
    <row r="275" spans="2:15" ht="16.5" thickBot="1">
      <c r="D275" s="1025"/>
      <c r="E275" s="577"/>
      <c r="F275" s="1049">
        <v>1</v>
      </c>
      <c r="G275" s="1134" t="s">
        <v>2921</v>
      </c>
      <c r="H275" s="1135"/>
      <c r="I275" s="1351"/>
      <c r="J275" s="1361"/>
      <c r="K275" s="1376"/>
      <c r="L275" s="1377"/>
      <c r="M275" s="1377"/>
      <c r="N275" s="1377"/>
      <c r="O275" s="1377"/>
    </row>
    <row r="276" spans="2:15" ht="15.75">
      <c r="B276" s="1">
        <v>1</v>
      </c>
      <c r="C276" s="1">
        <v>1</v>
      </c>
      <c r="D276" s="1025"/>
      <c r="E276" s="577"/>
      <c r="F276" s="1378" t="s">
        <v>467</v>
      </c>
      <c r="G276" s="1363" t="s">
        <v>1937</v>
      </c>
      <c r="H276" s="1364"/>
      <c r="I276" s="1364"/>
      <c r="J276" s="1363" t="s">
        <v>1705</v>
      </c>
      <c r="K276" s="1364"/>
      <c r="L276" s="1364"/>
      <c r="M276" s="1377"/>
      <c r="N276" s="1377"/>
      <c r="O276" s="1377"/>
    </row>
    <row r="277" spans="2:15" ht="15.75">
      <c r="B277" s="1" t="s">
        <v>2364</v>
      </c>
      <c r="C277" s="1">
        <v>2</v>
      </c>
      <c r="D277" s="1025"/>
      <c r="E277" s="577"/>
      <c r="F277" s="1365" t="s">
        <v>471</v>
      </c>
      <c r="G277" s="1366">
        <f>メイン!J47+メイン!J49+メイン!J57+メイン!J61+メイン!J62+メイン!J64+メイン!J60</f>
        <v>3000</v>
      </c>
      <c r="H277" s="1379"/>
      <c r="I277" s="1367"/>
      <c r="J277" s="1366">
        <f>メイン!J54+メイン!J56</f>
        <v>0</v>
      </c>
      <c r="K277" s="1379"/>
      <c r="L277" s="1367"/>
      <c r="M277" s="1377"/>
      <c r="N277" s="1377"/>
      <c r="O277" s="1377"/>
    </row>
    <row r="278" spans="2:15" ht="16.5" thickBot="1">
      <c r="B278" s="1">
        <v>3</v>
      </c>
      <c r="C278" s="1">
        <v>3</v>
      </c>
      <c r="D278" s="1025"/>
      <c r="E278" s="577"/>
      <c r="F278" s="1368" t="s">
        <v>472</v>
      </c>
      <c r="G278" s="1369">
        <f>IF(H275=T4,F275,IF(G286&lt;1,1,IF(G286=1,2,IF(G286=2,3,IF(G286=3,4,5)))))</f>
        <v>3</v>
      </c>
      <c r="H278" s="1370"/>
      <c r="I278" s="1370"/>
      <c r="J278" s="1369">
        <f>IF(H275=T4,F275,IF(J286&lt;1,1,IF(J286=1,2,IF(J286=2,3,5))))</f>
        <v>3</v>
      </c>
      <c r="K278" s="1370"/>
      <c r="L278" s="1370"/>
      <c r="M278" s="1377"/>
      <c r="N278" s="1377"/>
      <c r="O278" s="1377"/>
    </row>
    <row r="279" spans="2:15" ht="45" customHeight="1">
      <c r="B279" s="1">
        <v>4</v>
      </c>
      <c r="C279" s="1">
        <v>4</v>
      </c>
      <c r="D279" s="1025"/>
      <c r="E279" s="577"/>
      <c r="F279" s="1371" t="s">
        <v>2926</v>
      </c>
      <c r="G279" s="3041" t="s">
        <v>664</v>
      </c>
      <c r="H279" s="3042"/>
      <c r="I279" s="3042"/>
      <c r="J279" s="3042"/>
      <c r="K279" s="3042"/>
      <c r="L279" s="3043"/>
      <c r="M279" s="1377"/>
      <c r="N279" s="1377"/>
      <c r="O279" s="1377"/>
    </row>
    <row r="280" spans="2:15" ht="15.75" customHeight="1">
      <c r="B280" s="1">
        <v>5</v>
      </c>
      <c r="C280" s="1">
        <v>5</v>
      </c>
      <c r="D280" s="1025"/>
      <c r="E280" s="577"/>
      <c r="F280" s="1374"/>
      <c r="G280" s="2966" t="s">
        <v>665</v>
      </c>
      <c r="H280" s="2967"/>
      <c r="I280" s="2967"/>
      <c r="J280" s="2967"/>
      <c r="K280" s="2967"/>
      <c r="L280" s="2968"/>
      <c r="M280" s="1377"/>
      <c r="N280" s="1377"/>
      <c r="O280" s="1377"/>
    </row>
    <row r="281" spans="2:15" ht="31.5" customHeight="1">
      <c r="B281" s="1079">
        <v>0</v>
      </c>
      <c r="C281" s="1079">
        <v>0</v>
      </c>
      <c r="D281" s="1025"/>
      <c r="E281" s="577"/>
      <c r="F281" s="1374"/>
      <c r="G281" s="2966" t="s">
        <v>666</v>
      </c>
      <c r="H281" s="2967"/>
      <c r="I281" s="2967"/>
      <c r="J281" s="2967"/>
      <c r="K281" s="2967"/>
      <c r="L281" s="2968"/>
      <c r="M281" s="1377"/>
      <c r="N281" s="1377"/>
      <c r="O281" s="1377"/>
    </row>
    <row r="282" spans="2:15" ht="15.75" customHeight="1">
      <c r="D282" s="1025"/>
      <c r="E282" s="577"/>
      <c r="F282" s="1374" t="s">
        <v>2926</v>
      </c>
      <c r="G282" s="2966" t="s">
        <v>667</v>
      </c>
      <c r="H282" s="2967"/>
      <c r="I282" s="2967"/>
      <c r="J282" s="2967"/>
      <c r="K282" s="2967"/>
      <c r="L282" s="2968"/>
      <c r="M282" s="1377"/>
      <c r="N282" s="1377"/>
      <c r="O282" s="1377"/>
    </row>
    <row r="283" spans="2:15" ht="15.75" customHeight="1">
      <c r="D283" s="1025"/>
      <c r="E283" s="577"/>
      <c r="F283" s="1374"/>
      <c r="G283" s="2966" t="s">
        <v>668</v>
      </c>
      <c r="H283" s="2967"/>
      <c r="I283" s="2967"/>
      <c r="J283" s="2967"/>
      <c r="K283" s="2967"/>
      <c r="L283" s="2968"/>
      <c r="M283" s="1377"/>
      <c r="N283" s="1377"/>
      <c r="O283" s="1377"/>
    </row>
    <row r="284" spans="2:15" ht="36.75" customHeight="1">
      <c r="D284" s="1025"/>
      <c r="E284" s="577"/>
      <c r="F284" s="1374"/>
      <c r="G284" s="2966" t="s">
        <v>1938</v>
      </c>
      <c r="H284" s="2967"/>
      <c r="I284" s="2967"/>
      <c r="J284" s="2967"/>
      <c r="K284" s="2967"/>
      <c r="L284" s="2968"/>
      <c r="M284" s="1377"/>
      <c r="N284" s="1377"/>
      <c r="O284" s="1377"/>
    </row>
    <row r="285" spans="2:15" ht="20.25" customHeight="1" thickBot="1">
      <c r="D285" s="1025"/>
      <c r="E285" s="577"/>
      <c r="F285" s="2298"/>
      <c r="G285" s="3038" t="s">
        <v>36</v>
      </c>
      <c r="H285" s="3039"/>
      <c r="I285" s="3039"/>
      <c r="J285" s="3039"/>
      <c r="K285" s="3039"/>
      <c r="L285" s="3040"/>
      <c r="M285" s="1377"/>
      <c r="N285" s="1377"/>
      <c r="O285" s="1377"/>
    </row>
    <row r="286" spans="2:15" ht="15.75">
      <c r="D286" s="1025"/>
      <c r="E286" s="577"/>
      <c r="F286" s="2300" t="s">
        <v>40</v>
      </c>
      <c r="G286" s="2299">
        <f>COUNTIF(F279:F285,$S$3)</f>
        <v>2</v>
      </c>
      <c r="H286" s="1370"/>
      <c r="I286" s="1370"/>
      <c r="J286" s="2299">
        <f>G286-COUNTIF(F284,$S$3)</f>
        <v>2</v>
      </c>
      <c r="K286" s="1370"/>
      <c r="L286" s="1370"/>
      <c r="M286" s="1377"/>
      <c r="N286" s="1377"/>
      <c r="O286" s="1377"/>
    </row>
    <row r="287" spans="2:15" ht="15.75">
      <c r="D287" s="1025"/>
      <c r="E287" s="577"/>
      <c r="F287" s="1376"/>
      <c r="G287" s="1377"/>
      <c r="H287" s="1377"/>
      <c r="I287" s="1377"/>
      <c r="J287" s="1377"/>
      <c r="K287" s="1376"/>
      <c r="L287" s="1377"/>
      <c r="M287" s="1377"/>
      <c r="N287" s="1377"/>
      <c r="O287" s="1377"/>
    </row>
    <row r="288" spans="2:15" ht="15.75">
      <c r="D288" s="1025"/>
      <c r="E288" s="577"/>
      <c r="F288" s="1204" t="s">
        <v>1939</v>
      </c>
      <c r="G288" s="1273"/>
      <c r="H288" s="1273"/>
      <c r="I288" s="1273"/>
      <c r="J288" s="1273"/>
      <c r="K288" s="1272"/>
      <c r="L288" s="1272"/>
      <c r="M288" s="1377"/>
      <c r="N288" s="1377"/>
      <c r="O288" s="1377"/>
    </row>
    <row r="289" spans="2:15" ht="16.5" thickBot="1">
      <c r="D289" s="1025"/>
      <c r="E289" s="1352"/>
      <c r="F289" s="1185"/>
      <c r="G289" s="1043"/>
      <c r="H289" s="1044"/>
      <c r="I289" s="1045" t="s">
        <v>1484</v>
      </c>
      <c r="J289" s="1046">
        <f>重み!M93</f>
        <v>0.2</v>
      </c>
      <c r="K289" s="1186"/>
      <c r="L289" s="1186"/>
      <c r="M289" s="1186"/>
      <c r="N289" s="1188"/>
      <c r="O289" s="1081"/>
    </row>
    <row r="290" spans="2:15" ht="16.5" thickBot="1">
      <c r="D290" s="1025"/>
      <c r="E290" s="1352"/>
      <c r="F290" s="1281">
        <f>IF(メイン!J66&gt;2000,G299,K299)</f>
        <v>3</v>
      </c>
      <c r="G290" s="1252" t="s">
        <v>915</v>
      </c>
      <c r="H290" s="1354"/>
      <c r="I290" s="1166"/>
      <c r="J290" s="1389"/>
      <c r="K290" s="2302" t="s">
        <v>43</v>
      </c>
      <c r="L290" s="1354"/>
      <c r="M290" s="1166"/>
      <c r="N290" s="1355"/>
      <c r="O290" s="1081"/>
    </row>
    <row r="291" spans="2:15" ht="15.75" customHeight="1">
      <c r="D291" s="1025"/>
      <c r="E291" s="1179"/>
      <c r="F291" s="1056" t="str">
        <f>IF(F290=$S$15,$T$10,IF(ROUNDDOWN(F290,0)=$S$10,$U$10,$T$10))</f>
        <v>　レベル　1</v>
      </c>
      <c r="G291" s="2976" t="s">
        <v>441</v>
      </c>
      <c r="H291" s="2977"/>
      <c r="I291" s="2977"/>
      <c r="J291" s="3052"/>
      <c r="K291" s="2976" t="s">
        <v>387</v>
      </c>
      <c r="L291" s="2977"/>
      <c r="M291" s="2977"/>
      <c r="N291" s="3052"/>
      <c r="O291" s="1081"/>
    </row>
    <row r="292" spans="2:15" ht="15.75" customHeight="1">
      <c r="D292" s="1025"/>
      <c r="E292" s="1179"/>
      <c r="F292" s="1061" t="str">
        <f>IF(F290=$S$15,$T$11,IF(ROUNDDOWN(F290,0)=$S$11,$U$11,$T$11))</f>
        <v>　レベル　2</v>
      </c>
      <c r="G292" s="2972" t="s">
        <v>2365</v>
      </c>
      <c r="H292" s="2973"/>
      <c r="I292" s="2974"/>
      <c r="J292" s="2975"/>
      <c r="K292" s="2972" t="s">
        <v>2365</v>
      </c>
      <c r="L292" s="2973"/>
      <c r="M292" s="2974"/>
      <c r="N292" s="2975"/>
      <c r="O292" s="1081"/>
    </row>
    <row r="293" spans="2:15" ht="15.75" customHeight="1">
      <c r="D293" s="1025"/>
      <c r="E293" s="1179"/>
      <c r="F293" s="1061" t="str">
        <f>IF(F290=$S$15,$T$12,IF(ROUNDDOWN(F290,0)=$S$12,$U$12,$T$12))</f>
        <v>■レベル　3</v>
      </c>
      <c r="G293" s="2972" t="s">
        <v>44</v>
      </c>
      <c r="H293" s="2973"/>
      <c r="I293" s="2974"/>
      <c r="J293" s="2975"/>
      <c r="K293" s="2972" t="s">
        <v>51</v>
      </c>
      <c r="L293" s="2973"/>
      <c r="M293" s="2974"/>
      <c r="N293" s="2975"/>
      <c r="O293" s="1081"/>
    </row>
    <row r="294" spans="2:15" ht="15.75" customHeight="1">
      <c r="D294" s="1025"/>
      <c r="E294" s="1179"/>
      <c r="F294" s="1061" t="str">
        <f>IF(F290=$S$15,$T$13,IF(ROUNDDOWN(F290,0)=$S$13,$U$13,$T$13))</f>
        <v>　レベル　4</v>
      </c>
      <c r="G294" s="2972" t="s">
        <v>37</v>
      </c>
      <c r="H294" s="2973"/>
      <c r="I294" s="2974"/>
      <c r="J294" s="2975"/>
      <c r="K294" s="2972" t="s">
        <v>52</v>
      </c>
      <c r="L294" s="2973"/>
      <c r="M294" s="2974"/>
      <c r="N294" s="2975"/>
      <c r="O294" s="1081"/>
    </row>
    <row r="295" spans="2:15" ht="15.75" customHeight="1">
      <c r="D295" s="1025"/>
      <c r="E295" s="1179"/>
      <c r="F295" s="1072" t="str">
        <f>IF(F290=$S$15,$T$14,IF(ROUNDDOWN(F290,0)=$S$14,$U$14,$T$14))</f>
        <v>　レベル　5</v>
      </c>
      <c r="G295" s="3045" t="s">
        <v>38</v>
      </c>
      <c r="H295" s="3046"/>
      <c r="I295" s="3047"/>
      <c r="J295" s="3048"/>
      <c r="K295" s="3045" t="s">
        <v>53</v>
      </c>
      <c r="L295" s="3046"/>
      <c r="M295" s="3047"/>
      <c r="N295" s="3048"/>
      <c r="O295" s="1081"/>
    </row>
    <row r="296" spans="2:15" ht="16.5" thickBot="1">
      <c r="D296" s="1130"/>
      <c r="E296" s="1381"/>
      <c r="F296" s="1357" t="s">
        <v>2933</v>
      </c>
      <c r="G296" s="1359"/>
      <c r="H296" s="1358"/>
      <c r="I296" s="1359"/>
      <c r="J296" s="1358"/>
      <c r="K296" s="1359"/>
      <c r="L296" s="1359"/>
      <c r="M296" s="1126"/>
      <c r="N296" s="1126"/>
      <c r="O296" s="1126"/>
    </row>
    <row r="297" spans="2:15" ht="16.5" thickBot="1">
      <c r="D297" s="1025"/>
      <c r="E297" s="577"/>
      <c r="F297" s="1049">
        <v>3</v>
      </c>
      <c r="G297" s="1134" t="s">
        <v>2921</v>
      </c>
      <c r="H297" s="1135"/>
      <c r="I297" s="1222"/>
      <c r="J297" s="1361"/>
      <c r="K297" s="1351"/>
      <c r="L297" s="1351"/>
      <c r="M297" s="1236"/>
      <c r="N297" s="1236"/>
      <c r="O297" s="1236"/>
    </row>
    <row r="298" spans="2:15" ht="15.75">
      <c r="B298" s="1">
        <v>1</v>
      </c>
      <c r="C298" s="1">
        <v>1</v>
      </c>
      <c r="D298" s="1025"/>
      <c r="E298" s="577"/>
      <c r="F298" s="1382" t="s">
        <v>1940</v>
      </c>
      <c r="G298" s="1363" t="s">
        <v>49</v>
      </c>
      <c r="H298" s="1383"/>
      <c r="I298" s="1363"/>
      <c r="J298" s="1383"/>
      <c r="K298" s="1363" t="s">
        <v>50</v>
      </c>
      <c r="L298" s="1383"/>
      <c r="M298" s="1363"/>
      <c r="N298" s="1383"/>
      <c r="O298" s="1236"/>
    </row>
    <row r="299" spans="2:15" ht="16.5" thickBot="1">
      <c r="B299" s="1">
        <v>3</v>
      </c>
      <c r="C299" s="1">
        <v>3</v>
      </c>
      <c r="D299" s="1025"/>
      <c r="E299" s="577"/>
      <c r="F299" s="1384" t="s">
        <v>472</v>
      </c>
      <c r="G299" s="1385">
        <f>IF(H297=T4,F297,IF(COUNTIF(F300:F305,$S$3)&lt;1,1,IF(COUNTIF(F300:F305,$S$3)&lt;=2,3,IF(COUNTIF(F300:F305,$S$3)=3,4,IF(COUNTIF(F300:F305,$S$3)&gt;=4,5)))))</f>
        <v>3</v>
      </c>
      <c r="H299" s="1386"/>
      <c r="I299" s="1385"/>
      <c r="J299" s="1386"/>
      <c r="K299" s="1385">
        <f>IF(H297=T4,F297,IF(COUNTIF(F300:F302,$S$3)+COUNTIF(F304:F305,$S$3)=1,4,IF(COUNTIF(F300:F302,$S$3)+COUNTIF(F304:F305,$S$3)&gt;=2,5,3)))</f>
        <v>3</v>
      </c>
      <c r="L299" s="1386"/>
      <c r="M299" s="1385"/>
      <c r="N299" s="1386"/>
      <c r="O299" s="1236"/>
    </row>
    <row r="300" spans="2:15" ht="15.75" customHeight="1">
      <c r="B300" s="1">
        <v>4</v>
      </c>
      <c r="C300" s="1">
        <v>4</v>
      </c>
      <c r="D300" s="1025"/>
      <c r="E300" s="1360"/>
      <c r="F300" s="1371"/>
      <c r="G300" s="2999" t="s">
        <v>41</v>
      </c>
      <c r="H300" s="3000"/>
      <c r="I300" s="3000"/>
      <c r="J300" s="3000"/>
      <c r="K300" s="3000"/>
      <c r="L300" s="3000"/>
      <c r="M300" s="3000"/>
      <c r="N300" s="3001"/>
      <c r="O300" s="1236"/>
    </row>
    <row r="301" spans="2:15" ht="15.75" customHeight="1">
      <c r="B301" s="1">
        <v>5</v>
      </c>
      <c r="C301" s="1">
        <v>5</v>
      </c>
      <c r="D301" s="1025"/>
      <c r="E301" s="1360"/>
      <c r="F301" s="1374"/>
      <c r="G301" s="2969" t="s">
        <v>669</v>
      </c>
      <c r="H301" s="2967"/>
      <c r="I301" s="2967"/>
      <c r="J301" s="2967"/>
      <c r="K301" s="2967"/>
      <c r="L301" s="2967"/>
      <c r="M301" s="2967"/>
      <c r="N301" s="2968"/>
      <c r="O301" s="1236"/>
    </row>
    <row r="302" spans="2:15" ht="15.75">
      <c r="B302" s="1079">
        <v>0</v>
      </c>
      <c r="C302" s="1079">
        <v>0</v>
      </c>
      <c r="D302" s="1025"/>
      <c r="E302" s="1360"/>
      <c r="F302" s="1374"/>
      <c r="G302" s="2969" t="s">
        <v>45</v>
      </c>
      <c r="H302" s="2967"/>
      <c r="I302" s="2967"/>
      <c r="J302" s="2967"/>
      <c r="K302" s="2967"/>
      <c r="L302" s="2967"/>
      <c r="M302" s="2967"/>
      <c r="N302" s="2968"/>
      <c r="O302" s="1236"/>
    </row>
    <row r="303" spans="2:15" ht="72.75" customHeight="1">
      <c r="B303" s="1782"/>
      <c r="C303" s="1782"/>
      <c r="D303" s="1025"/>
      <c r="E303" s="1360"/>
      <c r="F303" s="2297" t="s">
        <v>2926</v>
      </c>
      <c r="G303" s="2966" t="s">
        <v>46</v>
      </c>
      <c r="H303" s="2967"/>
      <c r="I303" s="2967"/>
      <c r="J303" s="2967"/>
      <c r="K303" s="2967"/>
      <c r="L303" s="2967"/>
      <c r="M303" s="2967"/>
      <c r="N303" s="2968"/>
      <c r="O303" s="1236"/>
    </row>
    <row r="304" spans="2:15" ht="15.75">
      <c r="B304" s="1782"/>
      <c r="C304" s="1782"/>
      <c r="D304" s="1025"/>
      <c r="E304" s="1360"/>
      <c r="F304" s="2297"/>
      <c r="G304" s="2969" t="s">
        <v>47</v>
      </c>
      <c r="H304" s="2967"/>
      <c r="I304" s="2967"/>
      <c r="J304" s="2967"/>
      <c r="K304" s="2967"/>
      <c r="L304" s="2967"/>
      <c r="M304" s="2967"/>
      <c r="N304" s="2968"/>
      <c r="O304" s="1236"/>
    </row>
    <row r="305" spans="2:15" ht="16.5" thickBot="1">
      <c r="D305" s="1025"/>
      <c r="E305" s="1360"/>
      <c r="F305" s="1380"/>
      <c r="G305" s="2998" t="s">
        <v>48</v>
      </c>
      <c r="H305" s="2944"/>
      <c r="I305" s="2944"/>
      <c r="J305" s="2944"/>
      <c r="K305" s="2944"/>
      <c r="L305" s="2944"/>
      <c r="M305" s="2944"/>
      <c r="N305" s="2945"/>
      <c r="O305" s="1236"/>
    </row>
    <row r="306" spans="2:15" ht="15.75">
      <c r="D306" s="1025"/>
      <c r="E306" s="577"/>
      <c r="F306" s="1222"/>
      <c r="G306" s="1388"/>
      <c r="H306" s="1388"/>
      <c r="I306" s="1388"/>
      <c r="J306" s="1376"/>
      <c r="K306" s="1388"/>
      <c r="L306" s="1388"/>
      <c r="M306" s="1236"/>
      <c r="N306" s="1236"/>
      <c r="O306" s="1236"/>
    </row>
    <row r="307" spans="2:15" ht="15.75">
      <c r="D307" s="1025"/>
      <c r="E307" s="577"/>
      <c r="F307" s="1204" t="s">
        <v>670</v>
      </c>
      <c r="G307" s="1273"/>
      <c r="H307" s="1273"/>
      <c r="I307" s="1273"/>
      <c r="J307" s="1119" t="str">
        <f>IF(OR(F309=0,J308=0),$R$3,"")</f>
        <v/>
      </c>
      <c r="K307" s="1388"/>
      <c r="L307" s="1388"/>
      <c r="M307" s="1236"/>
      <c r="N307" s="1236"/>
      <c r="O307" s="1236"/>
    </row>
    <row r="308" spans="2:15" ht="16.5" thickBot="1">
      <c r="D308" s="1025"/>
      <c r="E308" s="577"/>
      <c r="F308" s="1185"/>
      <c r="G308" s="1043"/>
      <c r="H308" s="1044"/>
      <c r="I308" s="1045" t="s">
        <v>1484</v>
      </c>
      <c r="J308" s="1046">
        <f>重み!M94</f>
        <v>0.2</v>
      </c>
      <c r="K308" s="1186"/>
      <c r="L308" s="1186"/>
      <c r="M308" s="1186"/>
      <c r="N308" s="1186"/>
      <c r="O308" s="1055"/>
    </row>
    <row r="309" spans="2:15" ht="16.5" thickBot="1">
      <c r="D309" s="1025"/>
      <c r="E309" s="577"/>
      <c r="F309" s="1049">
        <v>3</v>
      </c>
      <c r="G309" s="1053" t="s">
        <v>915</v>
      </c>
      <c r="H309" s="1054"/>
      <c r="I309" s="1054"/>
      <c r="J309" s="1054"/>
      <c r="K309" s="1054"/>
      <c r="L309" s="1389"/>
      <c r="M309" s="1054"/>
      <c r="N309" s="1054"/>
      <c r="O309" s="1055"/>
    </row>
    <row r="310" spans="2:15" ht="15.75" customHeight="1">
      <c r="B310" s="1">
        <v>1</v>
      </c>
      <c r="C310" s="1">
        <v>1</v>
      </c>
      <c r="D310" s="1025"/>
      <c r="E310" s="577"/>
      <c r="F310" s="1056" t="str">
        <f>IF(F309=$S$15,$T$10,IF(ROUNDDOWN(F309,0)=$S$10,$U$10,$T$10))</f>
        <v>　レベル　1</v>
      </c>
      <c r="G310" s="1058" t="s">
        <v>457</v>
      </c>
      <c r="H310" s="1059"/>
      <c r="I310" s="1059"/>
      <c r="J310" s="1059"/>
      <c r="K310" s="1059"/>
      <c r="L310" s="1390"/>
      <c r="M310" s="1059"/>
      <c r="N310" s="1059"/>
      <c r="O310" s="1060"/>
    </row>
    <row r="311" spans="2:15" ht="15.75" customHeight="1">
      <c r="B311" s="1" t="s">
        <v>1637</v>
      </c>
      <c r="C311" s="1">
        <v>2</v>
      </c>
      <c r="D311" s="1025"/>
      <c r="E311" s="577"/>
      <c r="F311" s="1061" t="str">
        <f>IF(F309=$S$15,$T$11,IF(ROUNDDOWN(F309,0)=$S$11,$U$11,$T$11))</f>
        <v>　レベル　2</v>
      </c>
      <c r="G311" s="1065" t="s">
        <v>2365</v>
      </c>
      <c r="H311" s="1066"/>
      <c r="I311" s="1066"/>
      <c r="J311" s="1066"/>
      <c r="K311" s="1066"/>
      <c r="L311" s="1391"/>
      <c r="M311" s="1066"/>
      <c r="N311" s="1066"/>
      <c r="O311" s="1067"/>
    </row>
    <row r="312" spans="2:15" ht="15.75">
      <c r="B312" s="1">
        <v>3</v>
      </c>
      <c r="C312" s="1">
        <v>3</v>
      </c>
      <c r="D312" s="1025"/>
      <c r="E312" s="577"/>
      <c r="F312" s="1061" t="str">
        <f>IF(F309=$S$15,$T$12,IF(ROUNDDOWN(F309,0)=$S$12,$U$12,$T$12))</f>
        <v>■レベル　3</v>
      </c>
      <c r="G312" s="1065" t="s">
        <v>474</v>
      </c>
      <c r="H312" s="1066"/>
      <c r="I312" s="1066"/>
      <c r="J312" s="1066"/>
      <c r="K312" s="1066"/>
      <c r="L312" s="1391"/>
      <c r="M312" s="1066"/>
      <c r="N312" s="1066"/>
      <c r="O312" s="1067"/>
    </row>
    <row r="313" spans="2:15" ht="15.75">
      <c r="B313" s="1">
        <v>4</v>
      </c>
      <c r="C313" s="1">
        <v>4</v>
      </c>
      <c r="D313" s="1025"/>
      <c r="E313" s="577"/>
      <c r="F313" s="1061" t="str">
        <f>IF(F309=$S$15,$T$13,IF(ROUNDDOWN(F309,0)=$S$13,$U$13,$T$13))</f>
        <v>　レベル　4</v>
      </c>
      <c r="G313" s="1065" t="s">
        <v>54</v>
      </c>
      <c r="H313" s="1066"/>
      <c r="I313" s="1066"/>
      <c r="J313" s="1066"/>
      <c r="K313" s="1066"/>
      <c r="L313" s="1391"/>
      <c r="M313" s="1066"/>
      <c r="N313" s="1066"/>
      <c r="O313" s="1067"/>
    </row>
    <row r="314" spans="2:15" ht="15.75">
      <c r="B314" s="1">
        <v>5</v>
      </c>
      <c r="C314" s="1">
        <v>5</v>
      </c>
      <c r="D314" s="1025"/>
      <c r="E314" s="577"/>
      <c r="F314" s="1072" t="str">
        <f>IF(F309=$S$15,$T$14,IF(ROUNDDOWN(F309,0)=$S$14,$U$14,$T$14))</f>
        <v>　レベル　5</v>
      </c>
      <c r="G314" s="1076" t="s">
        <v>473</v>
      </c>
      <c r="H314" s="1077"/>
      <c r="I314" s="1077"/>
      <c r="J314" s="1077"/>
      <c r="K314" s="1077"/>
      <c r="L314" s="1392"/>
      <c r="M314" s="1077"/>
      <c r="N314" s="1077"/>
      <c r="O314" s="1078"/>
    </row>
    <row r="315" spans="2:15" ht="15.75">
      <c r="B315" s="1079">
        <v>0</v>
      </c>
      <c r="C315" s="1079">
        <v>0</v>
      </c>
      <c r="D315" s="1025"/>
      <c r="E315" s="577"/>
      <c r="F315" s="1222"/>
      <c r="G315" s="1388"/>
      <c r="H315" s="1388"/>
      <c r="I315" s="1388"/>
      <c r="J315" s="1376"/>
      <c r="K315" s="1388"/>
      <c r="L315" s="1388"/>
      <c r="M315" s="1236"/>
      <c r="N315" s="1236"/>
      <c r="O315" s="1236"/>
    </row>
    <row r="316" spans="2:15" ht="15.75">
      <c r="D316" s="1025"/>
      <c r="E316" s="577"/>
      <c r="F316" s="1204" t="s">
        <v>671</v>
      </c>
      <c r="G316" s="1273"/>
      <c r="H316" s="1273"/>
      <c r="I316" s="1273"/>
      <c r="J316" s="1273"/>
      <c r="K316" s="1272"/>
      <c r="L316" s="1272"/>
      <c r="M316" s="1236"/>
      <c r="N316" s="1236"/>
      <c r="O316" s="1236"/>
    </row>
    <row r="317" spans="2:15" ht="16.5" thickBot="1">
      <c r="D317" s="1025"/>
      <c r="E317" s="1352"/>
      <c r="F317" s="1185"/>
      <c r="G317" s="1043"/>
      <c r="H317" s="1044"/>
      <c r="I317" s="1045" t="s">
        <v>1484</v>
      </c>
      <c r="J317" s="1046">
        <f>重み!M95</f>
        <v>0.2</v>
      </c>
      <c r="K317" s="1186"/>
      <c r="L317" s="1186"/>
      <c r="M317" s="1186"/>
      <c r="N317" s="1186"/>
      <c r="O317" s="1055"/>
    </row>
    <row r="318" spans="2:15" ht="16.5" thickBot="1">
      <c r="D318" s="1025"/>
      <c r="E318" s="1352"/>
      <c r="F318" s="1393">
        <f>IF(H325=T4,F325,IF(COUNTIF(F327:F332,$S$3)&lt;1,1,IF(COUNTIF(F327:F332,$S$3)=1,2,IF(COUNTIF(F327:F332,$S$3)=2,3,IF(COUNTIF(F327:F332,$S$3)=3,4,5)))))</f>
        <v>3</v>
      </c>
      <c r="G318" s="1252" t="s">
        <v>915</v>
      </c>
      <c r="H318" s="1354"/>
      <c r="I318" s="1394"/>
      <c r="J318" s="1355"/>
      <c r="K318" s="1054"/>
      <c r="L318" s="1389"/>
      <c r="M318" s="1054"/>
      <c r="N318" s="1054"/>
      <c r="O318" s="1055"/>
    </row>
    <row r="319" spans="2:15" ht="15.75">
      <c r="D319" s="1025"/>
      <c r="E319" s="1276"/>
      <c r="F319" s="1056" t="str">
        <f>IF(F318=$S$15,$T$10,IF(ROUNDDOWN(F318,0)=$S$10,$U$10,$T$10))</f>
        <v>　レベル　1</v>
      </c>
      <c r="G319" s="2293" t="s">
        <v>441</v>
      </c>
      <c r="H319" s="1390"/>
      <c r="I319" s="1390"/>
      <c r="J319" s="1390"/>
      <c r="K319" s="1059"/>
      <c r="L319" s="1390"/>
      <c r="M319" s="1059"/>
      <c r="N319" s="1059"/>
      <c r="O319" s="1060"/>
    </row>
    <row r="320" spans="2:15" ht="15.75" customHeight="1">
      <c r="D320" s="1025"/>
      <c r="E320" s="1276"/>
      <c r="F320" s="1061" t="str">
        <f>IF(F318=$S$15,$T$11,IF(ROUNDDOWN(F318,0)=$S$11,$U$11,$T$11))</f>
        <v>　レベル　2</v>
      </c>
      <c r="G320" s="1223" t="s">
        <v>52</v>
      </c>
      <c r="H320" s="1391"/>
      <c r="I320" s="1391"/>
      <c r="J320" s="1391"/>
      <c r="K320" s="1066"/>
      <c r="L320" s="1391"/>
      <c r="M320" s="1066"/>
      <c r="N320" s="1066"/>
      <c r="O320" s="1067"/>
    </row>
    <row r="321" spans="2:15" ht="15.75" customHeight="1">
      <c r="D321" s="1025"/>
      <c r="E321" s="1276"/>
      <c r="F321" s="1061" t="str">
        <f>IF(F318=$S$15,$T$12,IF(ROUNDDOWN(F318,0)=$S$12,$U$12,$T$12))</f>
        <v>■レベル　3</v>
      </c>
      <c r="G321" s="1223" t="s">
        <v>1936</v>
      </c>
      <c r="H321" s="1391"/>
      <c r="I321" s="1391"/>
      <c r="J321" s="1391"/>
      <c r="K321" s="1066"/>
      <c r="L321" s="1391"/>
      <c r="M321" s="1066"/>
      <c r="N321" s="1066"/>
      <c r="O321" s="1067"/>
    </row>
    <row r="322" spans="2:15" ht="15.75" customHeight="1">
      <c r="D322" s="1025"/>
      <c r="E322" s="1276"/>
      <c r="F322" s="1061" t="str">
        <f>IF(F318=$S$15,$T$13,IF(ROUNDDOWN(F318,0)=$S$13,$U$13,$T$13))</f>
        <v>　レベル　4</v>
      </c>
      <c r="G322" s="1223" t="s">
        <v>37</v>
      </c>
      <c r="H322" s="1391"/>
      <c r="I322" s="1391"/>
      <c r="J322" s="1391"/>
      <c r="K322" s="1066"/>
      <c r="L322" s="1391"/>
      <c r="M322" s="1066"/>
      <c r="N322" s="1066"/>
      <c r="O322" s="1067"/>
    </row>
    <row r="323" spans="2:15" ht="15.75" customHeight="1">
      <c r="D323" s="1025"/>
      <c r="E323" s="1276"/>
      <c r="F323" s="1072" t="str">
        <f>IF(F318=$S$15,$T$14,IF(ROUNDDOWN(F318,0)=$S$14,$U$14,$T$14))</f>
        <v>　レベル　5</v>
      </c>
      <c r="G323" s="1198" t="s">
        <v>56</v>
      </c>
      <c r="H323" s="1392"/>
      <c r="I323" s="1392"/>
      <c r="J323" s="1392"/>
      <c r="K323" s="1077"/>
      <c r="L323" s="1392"/>
      <c r="M323" s="1077"/>
      <c r="N323" s="1077"/>
      <c r="O323" s="1078"/>
    </row>
    <row r="324" spans="2:15" ht="16.5" thickBot="1">
      <c r="D324" s="1130"/>
      <c r="E324" s="1381"/>
      <c r="F324" s="1357" t="s">
        <v>2933</v>
      </c>
      <c r="G324" s="1359"/>
      <c r="H324" s="1358"/>
      <c r="I324" s="1359"/>
      <c r="J324" s="1358"/>
      <c r="K324" s="1359"/>
      <c r="L324" s="1359"/>
      <c r="M324" s="1126"/>
      <c r="N324" s="1126"/>
      <c r="O324" s="1126"/>
    </row>
    <row r="325" spans="2:15" ht="16.5" thickBot="1">
      <c r="D325" s="1025"/>
      <c r="E325" s="577"/>
      <c r="F325" s="1049">
        <v>3</v>
      </c>
      <c r="G325" s="1134" t="s">
        <v>2921</v>
      </c>
      <c r="H325" s="1135"/>
      <c r="I325" s="1222"/>
      <c r="J325" s="1361"/>
      <c r="K325" s="1351"/>
      <c r="L325" s="1351"/>
      <c r="M325" s="1236"/>
      <c r="N325" s="1236"/>
      <c r="O325" s="1236"/>
    </row>
    <row r="326" spans="2:15" ht="16.5" thickBot="1">
      <c r="B326" s="1">
        <v>1</v>
      </c>
      <c r="C326" s="1">
        <v>1</v>
      </c>
      <c r="D326" s="1025"/>
      <c r="E326" s="577"/>
      <c r="F326" s="1382" t="s">
        <v>1940</v>
      </c>
      <c r="G326" s="1363" t="s">
        <v>49</v>
      </c>
      <c r="H326" s="1383"/>
      <c r="I326" s="1363"/>
      <c r="J326" s="1383"/>
      <c r="K326" s="1363"/>
      <c r="L326" s="1383"/>
      <c r="M326" s="1236"/>
      <c r="N326" s="1236"/>
      <c r="O326" s="1236"/>
    </row>
    <row r="327" spans="2:15" ht="15.75" customHeight="1">
      <c r="B327" s="1">
        <v>4</v>
      </c>
      <c r="C327" s="1">
        <v>4</v>
      </c>
      <c r="D327" s="1025"/>
      <c r="E327" s="577"/>
      <c r="F327" s="1371"/>
      <c r="G327" s="1387" t="s">
        <v>1682</v>
      </c>
      <c r="H327" s="1395"/>
      <c r="I327" s="1395"/>
      <c r="J327" s="1395"/>
      <c r="K327" s="1395"/>
      <c r="L327" s="1396"/>
      <c r="M327" s="1236"/>
      <c r="N327" s="1236"/>
      <c r="O327" s="1236"/>
    </row>
    <row r="328" spans="2:15" ht="15.75" customHeight="1">
      <c r="B328" s="1">
        <v>5</v>
      </c>
      <c r="C328" s="1">
        <v>5</v>
      </c>
      <c r="D328" s="1025"/>
      <c r="E328" s="577"/>
      <c r="F328" s="1374"/>
      <c r="G328" s="1329" t="s">
        <v>1683</v>
      </c>
      <c r="H328" s="1330"/>
      <c r="I328" s="1330"/>
      <c r="J328" s="1330"/>
      <c r="K328" s="1330"/>
      <c r="L328" s="1397"/>
      <c r="M328" s="1236"/>
      <c r="N328" s="1236"/>
      <c r="O328" s="1236"/>
    </row>
    <row r="329" spans="2:15" ht="73.5" customHeight="1">
      <c r="B329" s="1"/>
      <c r="C329" s="1"/>
      <c r="D329" s="1025"/>
      <c r="E329" s="577"/>
      <c r="F329" s="2297" t="s">
        <v>2926</v>
      </c>
      <c r="G329" s="2966" t="s">
        <v>55</v>
      </c>
      <c r="H329" s="2970"/>
      <c r="I329" s="2970"/>
      <c r="J329" s="2970"/>
      <c r="K329" s="2970"/>
      <c r="L329" s="2971"/>
      <c r="M329" s="1236"/>
      <c r="N329" s="1236"/>
      <c r="O329" s="1236"/>
    </row>
    <row r="330" spans="2:15" ht="15.75" customHeight="1">
      <c r="B330" s="1"/>
      <c r="C330" s="1"/>
      <c r="D330" s="1025"/>
      <c r="E330" s="577"/>
      <c r="F330" s="2297"/>
      <c r="G330" s="2301" t="s">
        <v>57</v>
      </c>
      <c r="H330" s="2303"/>
      <c r="I330" s="2303"/>
      <c r="J330" s="2303"/>
      <c r="K330" s="2303"/>
      <c r="L330" s="2288"/>
      <c r="M330" s="1236"/>
      <c r="N330" s="1236"/>
      <c r="O330" s="1236"/>
    </row>
    <row r="331" spans="2:15" ht="15.75" customHeight="1">
      <c r="B331" s="1"/>
      <c r="C331" s="1"/>
      <c r="D331" s="1025"/>
      <c r="E331" s="577"/>
      <c r="F331" s="2297" t="s">
        <v>2926</v>
      </c>
      <c r="G331" s="2301" t="s">
        <v>58</v>
      </c>
      <c r="H331" s="2303"/>
      <c r="I331" s="2303"/>
      <c r="J331" s="2303"/>
      <c r="K331" s="2303"/>
      <c r="L331" s="2288"/>
      <c r="M331" s="1236"/>
      <c r="N331" s="1236"/>
      <c r="O331" s="1236"/>
    </row>
    <row r="332" spans="2:15" ht="16.5" thickBot="1">
      <c r="B332" s="1079">
        <v>0</v>
      </c>
      <c r="C332" s="1079">
        <v>0</v>
      </c>
      <c r="D332" s="1025"/>
      <c r="E332" s="1360"/>
      <c r="F332" s="1380"/>
      <c r="G332" s="2998" t="s">
        <v>59</v>
      </c>
      <c r="H332" s="3002"/>
      <c r="I332" s="3002"/>
      <c r="J332" s="3002"/>
      <c r="K332" s="3002"/>
      <c r="L332" s="3003"/>
      <c r="M332" s="1236"/>
      <c r="N332" s="1236"/>
      <c r="O332" s="1236"/>
    </row>
    <row r="333" spans="2:15" ht="15.75">
      <c r="D333" s="1025"/>
      <c r="E333" s="577"/>
      <c r="F333" s="1388"/>
      <c r="G333" s="1388"/>
      <c r="H333" s="1398"/>
      <c r="I333" s="1398"/>
      <c r="J333" s="1398"/>
      <c r="K333" s="1398"/>
      <c r="L333" s="1351"/>
      <c r="M333" s="1351"/>
      <c r="N333" s="1236"/>
      <c r="O333" s="1236"/>
    </row>
    <row r="334" spans="2:15" ht="15.75">
      <c r="D334" s="1465">
        <v>3</v>
      </c>
      <c r="E334" s="1263" t="s">
        <v>1359</v>
      </c>
      <c r="F334" s="1272"/>
      <c r="G334" s="1273"/>
      <c r="H334" s="1273"/>
      <c r="I334" s="1273"/>
      <c r="J334" s="1273"/>
      <c r="K334" s="1272"/>
      <c r="L334" s="1272"/>
      <c r="M334" s="1272"/>
      <c r="N334" s="1272"/>
      <c r="O334" s="1272"/>
    </row>
    <row r="335" spans="2:15" ht="15.75">
      <c r="D335" s="1465">
        <v>3.1</v>
      </c>
      <c r="E335" s="1263" t="s">
        <v>1941</v>
      </c>
      <c r="F335" s="1272"/>
      <c r="G335" s="1163"/>
      <c r="H335" s="1273"/>
      <c r="I335" s="1273"/>
      <c r="J335" s="1273"/>
      <c r="K335" s="1272"/>
      <c r="L335" s="1347"/>
      <c r="M335" s="1272"/>
      <c r="N335" s="1272"/>
      <c r="O335" s="1272"/>
    </row>
    <row r="336" spans="2:15" ht="15.75">
      <c r="D336" s="1025"/>
      <c r="E336" s="1030"/>
      <c r="F336" s="1204" t="s">
        <v>1684</v>
      </c>
      <c r="G336" s="1116"/>
      <c r="H336" s="1165"/>
      <c r="I336" s="1145"/>
      <c r="J336" s="1119" t="str">
        <f>IF(OR(F338=0,AND(J337=0,O337=0)),$R$3,"")</f>
        <v/>
      </c>
      <c r="K336" s="1204"/>
      <c r="L336" s="1116"/>
      <c r="M336" s="1165"/>
      <c r="N336" s="1145"/>
      <c r="O336" s="1119"/>
    </row>
    <row r="337" spans="2:15" ht="16.5" thickBot="1">
      <c r="D337" s="1025"/>
      <c r="E337" s="1030"/>
      <c r="F337" s="1042" t="s">
        <v>352</v>
      </c>
      <c r="G337" s="1043"/>
      <c r="H337" s="1044"/>
      <c r="I337" s="1045" t="s">
        <v>1484</v>
      </c>
      <c r="J337" s="1048">
        <f>重み!M99</f>
        <v>0.6</v>
      </c>
      <c r="K337" s="1042" t="s">
        <v>2123</v>
      </c>
      <c r="L337" s="1043"/>
      <c r="M337" s="1044"/>
      <c r="N337" s="1045" t="s">
        <v>1484</v>
      </c>
      <c r="O337" s="1048">
        <f>重み!N99</f>
        <v>0</v>
      </c>
    </row>
    <row r="338" spans="2:15" ht="16.5" thickBot="1">
      <c r="D338" s="1025"/>
      <c r="E338" s="1030"/>
      <c r="F338" s="1049">
        <v>3</v>
      </c>
      <c r="G338" s="1166" t="s">
        <v>1942</v>
      </c>
      <c r="H338" s="1055"/>
      <c r="I338" s="2903" t="s">
        <v>1943</v>
      </c>
      <c r="J338" s="2997"/>
      <c r="K338" s="1049">
        <v>3</v>
      </c>
      <c r="L338" s="1166" t="s">
        <v>1685</v>
      </c>
      <c r="M338" s="1055"/>
      <c r="N338" s="1166" t="s">
        <v>1686</v>
      </c>
      <c r="O338" s="1055"/>
    </row>
    <row r="339" spans="2:15" ht="15.75">
      <c r="B339" s="1">
        <v>1</v>
      </c>
      <c r="C339" s="1">
        <v>1</v>
      </c>
      <c r="D339" s="1025"/>
      <c r="E339" s="1030"/>
      <c r="F339" s="1056" t="str">
        <f>IF(F338=$S$15,$T$10,IF(ROUNDDOWN(F338,0)=$S$10,$U$10,$T$10))</f>
        <v>　レベル　1</v>
      </c>
      <c r="G339" s="1058" t="s">
        <v>1687</v>
      </c>
      <c r="H339" s="1350"/>
      <c r="I339" s="1058" t="s">
        <v>1688</v>
      </c>
      <c r="J339" s="1399"/>
      <c r="K339" s="1056" t="str">
        <f>IF(K338=$S$15,$T$10,IF(ROUNDDOWN(K338,0)=$S$10,$U$10,$T$10))</f>
        <v>　レベル　1</v>
      </c>
      <c r="L339" s="2896" t="s">
        <v>1687</v>
      </c>
      <c r="M339" s="2914"/>
      <c r="N339" s="2896" t="s">
        <v>1689</v>
      </c>
      <c r="O339" s="2914"/>
    </row>
    <row r="340" spans="2:15" ht="15.75" customHeight="1">
      <c r="B340" s="1">
        <v>2</v>
      </c>
      <c r="C340" s="1">
        <v>2</v>
      </c>
      <c r="D340" s="1025"/>
      <c r="E340" s="1030"/>
      <c r="F340" s="1061" t="str">
        <f>IF(F338=$S$15,$T$11,IF(ROUNDDOWN(F338,0)=$S$11,$U$11,$T$11))</f>
        <v>　レベル　2</v>
      </c>
      <c r="G340" s="1065" t="s">
        <v>1690</v>
      </c>
      <c r="H340" s="1206"/>
      <c r="I340" s="1065" t="s">
        <v>1691</v>
      </c>
      <c r="J340" s="1400"/>
      <c r="K340" s="1061" t="str">
        <f>IF(K338=$S$15,$T$11,IF(ROUNDDOWN(K338,0)=$S$11,$U$11,$T$11))</f>
        <v>　レベル　2</v>
      </c>
      <c r="L340" s="2900" t="s">
        <v>1944</v>
      </c>
      <c r="M340" s="2901"/>
      <c r="N340" s="2900" t="s">
        <v>1945</v>
      </c>
      <c r="O340" s="2901"/>
    </row>
    <row r="341" spans="2:15" ht="15.75" customHeight="1">
      <c r="B341" s="1">
        <v>3</v>
      </c>
      <c r="C341" s="1">
        <v>3</v>
      </c>
      <c r="D341" s="1025"/>
      <c r="E341" s="1030"/>
      <c r="F341" s="1061" t="str">
        <f>IF(F338=$S$15,$T$12,IF(ROUNDDOWN(F338,0)=$S$12,$U$12,$T$12))</f>
        <v>■レベル　3</v>
      </c>
      <c r="G341" s="1065" t="s">
        <v>1692</v>
      </c>
      <c r="H341" s="1206"/>
      <c r="I341" s="1065" t="s">
        <v>1690</v>
      </c>
      <c r="J341" s="1400"/>
      <c r="K341" s="1061" t="str">
        <f>IF(K338=$S$15,$T$12,IF(ROUNDDOWN(K338,0)=$S$12,$U$12,$T$12))</f>
        <v>■レベル　3</v>
      </c>
      <c r="L341" s="2900" t="s">
        <v>1692</v>
      </c>
      <c r="M341" s="2901"/>
      <c r="N341" s="2900" t="s">
        <v>1693</v>
      </c>
      <c r="O341" s="2901"/>
    </row>
    <row r="342" spans="2:15" ht="15.75" customHeight="1">
      <c r="B342" s="1">
        <v>4</v>
      </c>
      <c r="C342" s="1">
        <v>4</v>
      </c>
      <c r="D342" s="1025"/>
      <c r="E342" s="1030"/>
      <c r="F342" s="1061" t="str">
        <f>IF(F338=$S$15,$T$13,IF(ROUNDDOWN(F338,0)=$S$13,$U$13,$T$13))</f>
        <v>　レベル　4</v>
      </c>
      <c r="G342" s="1065" t="s">
        <v>1694</v>
      </c>
      <c r="H342" s="1206"/>
      <c r="I342" s="1065" t="s">
        <v>1692</v>
      </c>
      <c r="J342" s="1400"/>
      <c r="K342" s="1061" t="str">
        <f>IF(K338=$S$15,$T$13,IF(ROUNDDOWN(K338,0)=$S$13,$U$13,$T$13))</f>
        <v>　レベル　4</v>
      </c>
      <c r="L342" s="2900" t="s">
        <v>1946</v>
      </c>
      <c r="M342" s="2901"/>
      <c r="N342" s="2900" t="s">
        <v>1947</v>
      </c>
      <c r="O342" s="2901"/>
    </row>
    <row r="343" spans="2:15" ht="15.75">
      <c r="B343" s="1">
        <v>5</v>
      </c>
      <c r="C343" s="1">
        <v>5</v>
      </c>
      <c r="D343" s="1025"/>
      <c r="E343" s="1030"/>
      <c r="F343" s="1072" t="str">
        <f>IF(F338=$S$15,$T$14,IF(ROUNDDOWN(F338,0)=$S$14,$U$14,$T$14))</f>
        <v>　レベル　5</v>
      </c>
      <c r="G343" s="1076" t="s">
        <v>1695</v>
      </c>
      <c r="H343" s="1199"/>
      <c r="I343" s="1076" t="s">
        <v>1696</v>
      </c>
      <c r="J343" s="1401"/>
      <c r="K343" s="1072" t="str">
        <f>IF(K338=$S$15,$T$14,IF(ROUNDDOWN(K338,0)=$S$14,$U$14,$T$14))</f>
        <v>　レベル　5</v>
      </c>
      <c r="L343" s="2898" t="s">
        <v>1695</v>
      </c>
      <c r="M343" s="2899"/>
      <c r="N343" s="2898" t="s">
        <v>1697</v>
      </c>
      <c r="O343" s="2899"/>
    </row>
    <row r="344" spans="2:15" ht="15.75">
      <c r="B344" s="1079">
        <v>0</v>
      </c>
      <c r="C344" s="1079">
        <v>0</v>
      </c>
      <c r="D344" s="1025"/>
      <c r="E344" s="1030"/>
      <c r="F344" s="1236"/>
      <c r="G344" s="1115"/>
      <c r="H344" s="1115"/>
      <c r="I344" s="1115"/>
      <c r="J344" s="1115"/>
      <c r="K344" s="1236"/>
      <c r="L344" s="1236"/>
      <c r="M344" s="1236"/>
      <c r="N344" s="1236"/>
      <c r="O344" s="1236"/>
    </row>
    <row r="345" spans="2:15" ht="15.75">
      <c r="D345" s="1025"/>
      <c r="E345" s="1030"/>
      <c r="F345" s="1204" t="s">
        <v>1698</v>
      </c>
      <c r="G345" s="1116"/>
      <c r="H345" s="1165"/>
      <c r="I345" s="1145"/>
      <c r="J345" s="1119" t="str">
        <f>IF(OR(F347=0,AND(J346=0,O346=0)),$R$3,"")</f>
        <v/>
      </c>
      <c r="K345" s="1204"/>
      <c r="L345" s="1116"/>
      <c r="M345" s="1165"/>
      <c r="N345" s="1145"/>
      <c r="O345" s="1119"/>
    </row>
    <row r="346" spans="2:15" ht="16.5" thickBot="1">
      <c r="D346" s="1025"/>
      <c r="E346" s="1030"/>
      <c r="F346" s="1042" t="s">
        <v>1699</v>
      </c>
      <c r="G346" s="1043"/>
      <c r="H346" s="1044"/>
      <c r="I346" s="1045" t="s">
        <v>1484</v>
      </c>
      <c r="J346" s="1048">
        <f>重み!M100</f>
        <v>0.4</v>
      </c>
      <c r="K346" s="1042" t="s">
        <v>2123</v>
      </c>
      <c r="L346" s="1043"/>
      <c r="M346" s="1044"/>
      <c r="N346" s="1045" t="s">
        <v>1484</v>
      </c>
      <c r="O346" s="1048">
        <f>重み!N100</f>
        <v>0</v>
      </c>
    </row>
    <row r="347" spans="2:15" ht="16.5" thickBot="1">
      <c r="D347" s="1025"/>
      <c r="E347" s="1030"/>
      <c r="F347" s="1049">
        <v>3</v>
      </c>
      <c r="G347" s="1166" t="s">
        <v>1948</v>
      </c>
      <c r="H347" s="1054"/>
      <c r="I347" s="1054"/>
      <c r="J347" s="1055"/>
      <c r="K347" s="1049">
        <v>3</v>
      </c>
      <c r="L347" s="1166" t="s">
        <v>296</v>
      </c>
      <c r="M347" s="1055"/>
      <c r="N347" s="1166"/>
      <c r="O347" s="1171"/>
    </row>
    <row r="348" spans="2:15" ht="15.75">
      <c r="B348" s="1">
        <v>1</v>
      </c>
      <c r="C348" s="1">
        <v>1</v>
      </c>
      <c r="D348" s="1025"/>
      <c r="E348" s="1030"/>
      <c r="F348" s="1056" t="str">
        <f>IF(F347=$S$15,$T$10,IF(ROUNDDOWN(F347,0)=$S$10,$U$10,$T$10))</f>
        <v>　レベル　1</v>
      </c>
      <c r="G348" s="1058" t="s">
        <v>1949</v>
      </c>
      <c r="H348" s="1350"/>
      <c r="I348" s="1350"/>
      <c r="J348" s="1399"/>
      <c r="K348" s="1056" t="str">
        <f>IF(K347=$S$15,$T$10,IF(ROUNDDOWN(K347,0)=$S$10,$U$10,$T$10))</f>
        <v>　レベル　1</v>
      </c>
      <c r="L348" s="2896" t="s">
        <v>297</v>
      </c>
      <c r="M348" s="2916"/>
      <c r="N348" s="2916"/>
      <c r="O348" s="2902"/>
    </row>
    <row r="349" spans="2:15" ht="15.75">
      <c r="B349" s="1">
        <v>2</v>
      </c>
      <c r="C349" s="1">
        <v>2</v>
      </c>
      <c r="D349" s="1025"/>
      <c r="E349" s="1030"/>
      <c r="F349" s="1061" t="str">
        <f>IF(F347=$S$15,$T$11,IF(ROUNDDOWN(F347,0)=$S$11,$U$11,$T$11))</f>
        <v>　レベル　2</v>
      </c>
      <c r="G349" s="1065" t="s">
        <v>1950</v>
      </c>
      <c r="H349" s="1206"/>
      <c r="I349" s="1206"/>
      <c r="J349" s="1400"/>
      <c r="K349" s="1061" t="str">
        <f>IF(K347=$S$15,$T$11,IF(ROUNDDOWN(K347,0)=$S$11,$U$11,$T$11))</f>
        <v>　レベル　2</v>
      </c>
      <c r="L349" s="2933" t="s">
        <v>298</v>
      </c>
      <c r="M349" s="2934"/>
      <c r="N349" s="2934"/>
      <c r="O349" s="2935"/>
    </row>
    <row r="350" spans="2:15" ht="15.75">
      <c r="B350" s="1">
        <v>3</v>
      </c>
      <c r="C350" s="1">
        <v>3</v>
      </c>
      <c r="D350" s="1025"/>
      <c r="E350" s="1260"/>
      <c r="F350" s="1061" t="str">
        <f>IF(F347=$S$15,$T$12,IF(ROUNDDOWN(F347,0)=$S$12,$U$12,$T$12))</f>
        <v>■レベル　3</v>
      </c>
      <c r="G350" s="1065" t="s">
        <v>1951</v>
      </c>
      <c r="H350" s="1206"/>
      <c r="I350" s="1206"/>
      <c r="J350" s="1400"/>
      <c r="K350" s="1061" t="str">
        <f>IF(K347=$S$15,$T$12,IF(ROUNDDOWN(K347,0)=$S$12,$U$12,$T$12))</f>
        <v>■レベル　3</v>
      </c>
      <c r="L350" s="2933" t="s">
        <v>299</v>
      </c>
      <c r="M350" s="2934"/>
      <c r="N350" s="2934"/>
      <c r="O350" s="2935"/>
    </row>
    <row r="351" spans="2:15" ht="15.75">
      <c r="B351" s="1">
        <v>4</v>
      </c>
      <c r="C351" s="1">
        <v>4</v>
      </c>
      <c r="D351" s="1025"/>
      <c r="E351" s="1030"/>
      <c r="F351" s="1061" t="str">
        <f>IF(F347=$S$15,$T$13,IF(ROUNDDOWN(F347,0)=$S$13,$U$13,$T$13))</f>
        <v>　レベル　4</v>
      </c>
      <c r="G351" s="1065" t="s">
        <v>1952</v>
      </c>
      <c r="H351" s="1206"/>
      <c r="I351" s="1206"/>
      <c r="J351" s="1400"/>
      <c r="K351" s="1061" t="str">
        <f>IF(K347=$S$15,$T$13,IF(ROUNDDOWN(K347,0)=$S$13,$U$13,$T$13))</f>
        <v>　レベル　4</v>
      </c>
      <c r="L351" s="2933" t="s">
        <v>300</v>
      </c>
      <c r="M351" s="2934"/>
      <c r="N351" s="2934"/>
      <c r="O351" s="2935"/>
    </row>
    <row r="352" spans="2:15" ht="15.75">
      <c r="B352" s="1">
        <v>5</v>
      </c>
      <c r="C352" s="1">
        <v>5</v>
      </c>
      <c r="D352" s="1025"/>
      <c r="E352" s="1030"/>
      <c r="F352" s="1072" t="str">
        <f>IF(F347=$S$15,$T$14,IF(ROUNDDOWN(F347,0)=$S$14,$U$14,$T$14))</f>
        <v>　レベル　5</v>
      </c>
      <c r="G352" s="1076" t="s">
        <v>301</v>
      </c>
      <c r="H352" s="1199"/>
      <c r="I352" s="1199"/>
      <c r="J352" s="1401"/>
      <c r="K352" s="1072" t="str">
        <f>IF(K347=$S$15,$T$14,IF(ROUNDDOWN(K347,0)=$S$14,$U$14,$T$14))</f>
        <v>　レベル　5</v>
      </c>
      <c r="L352" s="2925" t="s">
        <v>301</v>
      </c>
      <c r="M352" s="2944"/>
      <c r="N352" s="2944"/>
      <c r="O352" s="2945"/>
    </row>
    <row r="353" spans="2:15" ht="15.75" customHeight="1">
      <c r="B353" s="1079">
        <v>0</v>
      </c>
      <c r="C353" s="1079">
        <v>0</v>
      </c>
      <c r="D353" s="1025"/>
      <c r="E353" s="1030"/>
      <c r="F353" s="1170"/>
      <c r="G353" s="1402" t="s">
        <v>1953</v>
      </c>
      <c r="H353" s="1403" t="s">
        <v>302</v>
      </c>
      <c r="I353" s="1403"/>
      <c r="J353" s="1404"/>
      <c r="K353" s="1404"/>
      <c r="L353" s="1170"/>
      <c r="M353" s="1170"/>
      <c r="N353" s="1170"/>
      <c r="O353" s="1170"/>
    </row>
    <row r="354" spans="2:15" ht="15.75">
      <c r="D354" s="1025"/>
      <c r="E354" s="1030"/>
      <c r="F354" s="1170"/>
      <c r="G354" s="1405"/>
      <c r="H354" s="1406" t="s">
        <v>303</v>
      </c>
      <c r="I354" s="1406"/>
      <c r="J354" s="1405"/>
      <c r="K354" s="1405"/>
      <c r="L354" s="1170"/>
      <c r="M354" s="1170"/>
      <c r="N354" s="1170"/>
      <c r="O354" s="1170"/>
    </row>
    <row r="355" spans="2:15" ht="15.75">
      <c r="D355" s="1025"/>
      <c r="E355" s="1030"/>
      <c r="F355" s="1170"/>
      <c r="G355" s="1170"/>
      <c r="H355" s="1170"/>
      <c r="I355" s="1170"/>
      <c r="J355" s="1170"/>
      <c r="K355" s="1170"/>
      <c r="L355" s="1170"/>
      <c r="M355" s="1170"/>
      <c r="N355" s="1170"/>
      <c r="O355" s="1170"/>
    </row>
    <row r="356" spans="2:15" ht="15.75">
      <c r="D356" s="1465">
        <v>3.2</v>
      </c>
      <c r="E356" s="1263" t="s">
        <v>1954</v>
      </c>
      <c r="F356" s="1204"/>
      <c r="G356" s="1116"/>
      <c r="H356" s="1165"/>
      <c r="I356" s="1145"/>
      <c r="J356" s="1119" t="str">
        <f>IF(OR(F358=0,AND(J357=0,O357=0)),$R$3,"")</f>
        <v/>
      </c>
      <c r="K356" s="1145"/>
      <c r="L356" s="1145"/>
      <c r="M356" s="1115"/>
      <c r="N356" s="1145"/>
      <c r="O356" s="1119"/>
    </row>
    <row r="357" spans="2:15" ht="16.5" thickBot="1">
      <c r="D357" s="1025"/>
      <c r="E357" s="1030"/>
      <c r="F357" s="1185" t="s">
        <v>352</v>
      </c>
      <c r="G357" s="1043"/>
      <c r="H357" s="1044"/>
      <c r="I357" s="1045" t="s">
        <v>1484</v>
      </c>
      <c r="J357" s="1046">
        <f>重み!M101</f>
        <v>0.3</v>
      </c>
      <c r="K357" s="1186"/>
      <c r="L357" s="1188"/>
      <c r="M357" s="1189" t="s">
        <v>2123</v>
      </c>
      <c r="N357" s="1045" t="s">
        <v>1484</v>
      </c>
      <c r="O357" s="1047">
        <f>重み!N101</f>
        <v>0</v>
      </c>
    </row>
    <row r="358" spans="2:15" ht="16.5" thickBot="1">
      <c r="D358" s="1025"/>
      <c r="E358" s="1030"/>
      <c r="F358" s="1049">
        <v>3</v>
      </c>
      <c r="G358" s="2903" t="s">
        <v>1955</v>
      </c>
      <c r="H358" s="2997"/>
      <c r="I358" s="1166" t="s">
        <v>1956</v>
      </c>
      <c r="J358" s="1055"/>
      <c r="K358" s="1190" t="s">
        <v>2172</v>
      </c>
      <c r="L358" s="1191"/>
      <c r="M358" s="1049">
        <v>3</v>
      </c>
      <c r="N358" s="1166" t="s">
        <v>2143</v>
      </c>
      <c r="O358" s="1055"/>
    </row>
    <row r="359" spans="2:15" ht="15.75" customHeight="1">
      <c r="B359" s="1" t="s">
        <v>2364</v>
      </c>
      <c r="C359" s="1" t="s">
        <v>2364</v>
      </c>
      <c r="D359" s="1025"/>
      <c r="E359" s="1030"/>
      <c r="F359" s="1056" t="str">
        <f>IF(F358=$S$15,$T$10,IF(ROUNDDOWN(F358,0)=$S$10,$U$10,$T$10))</f>
        <v>　レベル　1</v>
      </c>
      <c r="G359" s="2896" t="s">
        <v>1957</v>
      </c>
      <c r="H359" s="2914"/>
      <c r="I359" s="2896" t="s">
        <v>1957</v>
      </c>
      <c r="J359" s="2914"/>
      <c r="K359" s="2896" t="s">
        <v>1957</v>
      </c>
      <c r="L359" s="2914"/>
      <c r="M359" s="1056" t="str">
        <f>IF(M358=$S$15,$T$10,IF(ROUNDDOWN(M358,0)=$S$10,$U$10,$T$10))</f>
        <v>　レベル　1</v>
      </c>
      <c r="N359" s="2896" t="s">
        <v>1957</v>
      </c>
      <c r="O359" s="2914"/>
    </row>
    <row r="360" spans="2:15" ht="15.75" customHeight="1">
      <c r="B360" s="1">
        <v>2</v>
      </c>
      <c r="C360" s="1">
        <v>2</v>
      </c>
      <c r="D360" s="1025"/>
      <c r="E360" s="1030"/>
      <c r="F360" s="1061" t="str">
        <f>IF(F358=$S$15,$T$11,IF(ROUNDDOWN(F358,0)=$S$11,$U$11,$T$11))</f>
        <v>　レベル　2</v>
      </c>
      <c r="G360" s="2900" t="s">
        <v>1958</v>
      </c>
      <c r="H360" s="2901"/>
      <c r="I360" s="2900" t="s">
        <v>1959</v>
      </c>
      <c r="J360" s="2901"/>
      <c r="K360" s="2900" t="s">
        <v>1960</v>
      </c>
      <c r="L360" s="2901"/>
      <c r="M360" s="1061" t="str">
        <f>IF(M358=$S$15,$T$11,IF(ROUNDDOWN(M358,0)=$S$11,$U$11,$T$11))</f>
        <v>　レベル　2</v>
      </c>
      <c r="N360" s="2900" t="s">
        <v>1961</v>
      </c>
      <c r="O360" s="2901"/>
    </row>
    <row r="361" spans="2:15" ht="15.75" customHeight="1">
      <c r="B361" s="1">
        <v>3</v>
      </c>
      <c r="C361" s="1">
        <v>3</v>
      </c>
      <c r="D361" s="1025"/>
      <c r="E361" s="1030"/>
      <c r="F361" s="1061" t="str">
        <f>IF(F358=$S$15,$T$12,IF(ROUNDDOWN(F358,0)=$S$12,$U$12,$T$12))</f>
        <v>■レベル　3</v>
      </c>
      <c r="G361" s="2900" t="s">
        <v>1962</v>
      </c>
      <c r="H361" s="2901"/>
      <c r="I361" s="2900" t="s">
        <v>1963</v>
      </c>
      <c r="J361" s="2901"/>
      <c r="K361" s="2900" t="s">
        <v>3076</v>
      </c>
      <c r="L361" s="2901"/>
      <c r="M361" s="1061" t="str">
        <f>IF(M358=$S$15,$T$12,IF(ROUNDDOWN(M358,0)=$S$12,$U$12,$T$12))</f>
        <v>■レベル　3</v>
      </c>
      <c r="N361" s="2900" t="s">
        <v>3077</v>
      </c>
      <c r="O361" s="2901"/>
    </row>
    <row r="362" spans="2:15" ht="15.75" customHeight="1">
      <c r="B362" s="1">
        <v>4</v>
      </c>
      <c r="C362" s="1">
        <v>4</v>
      </c>
      <c r="D362" s="1025"/>
      <c r="E362" s="1030"/>
      <c r="F362" s="1061" t="str">
        <f>IF(F358=$S$15,$T$13,IF(ROUNDDOWN(F358,0)=$S$13,$U$13,$T$13))</f>
        <v>　レベル　4</v>
      </c>
      <c r="G362" s="2900" t="s">
        <v>3078</v>
      </c>
      <c r="H362" s="2901"/>
      <c r="I362" s="2900" t="s">
        <v>3079</v>
      </c>
      <c r="J362" s="2901"/>
      <c r="K362" s="2900" t="s">
        <v>1962</v>
      </c>
      <c r="L362" s="2901"/>
      <c r="M362" s="1061" t="str">
        <f>IF(M358=$S$15,$T$13,IF(ROUNDDOWN(M358,0)=$S$13,$U$13,$T$13))</f>
        <v>　レベル　4</v>
      </c>
      <c r="N362" s="2900" t="s">
        <v>2508</v>
      </c>
      <c r="O362" s="2901"/>
    </row>
    <row r="363" spans="2:15" ht="15.75" customHeight="1">
      <c r="B363" s="1">
        <v>5</v>
      </c>
      <c r="C363" s="1">
        <v>5</v>
      </c>
      <c r="D363" s="1025"/>
      <c r="E363" s="1030"/>
      <c r="F363" s="1072" t="str">
        <f>IF(F358=$S$15,$T$14,IF(ROUNDDOWN(F358,0)=$S$14,$U$14,$T$14))</f>
        <v>　レベル　5</v>
      </c>
      <c r="G363" s="2898" t="s">
        <v>2300</v>
      </c>
      <c r="H363" s="2899"/>
      <c r="I363" s="2898" t="s">
        <v>2301</v>
      </c>
      <c r="J363" s="2899"/>
      <c r="K363" s="2898" t="s">
        <v>2302</v>
      </c>
      <c r="L363" s="2899"/>
      <c r="M363" s="1072" t="str">
        <f>IF(M358=$S$15,$T$14,IF(ROUNDDOWN(M358,0)=$S$14,$U$14,$T$14))</f>
        <v>　レベル　5</v>
      </c>
      <c r="N363" s="2898" t="s">
        <v>2303</v>
      </c>
      <c r="O363" s="2899"/>
    </row>
    <row r="364" spans="2:15" ht="15.75">
      <c r="B364" s="1079">
        <v>0</v>
      </c>
      <c r="C364" s="1079">
        <v>0</v>
      </c>
      <c r="D364" s="1407"/>
      <c r="E364" s="577"/>
      <c r="F364" s="1236"/>
      <c r="G364" s="1115"/>
      <c r="H364" s="1115"/>
      <c r="I364" s="1115"/>
      <c r="J364" s="1115"/>
      <c r="K364" s="1236"/>
      <c r="L364" s="1236"/>
      <c r="M364" s="1236"/>
      <c r="N364" s="1236"/>
      <c r="O364" s="1351"/>
    </row>
    <row r="365" spans="2:15" ht="15.75">
      <c r="D365" s="1465">
        <v>3.3</v>
      </c>
      <c r="E365" s="1263" t="s">
        <v>2304</v>
      </c>
      <c r="F365" s="1272"/>
      <c r="G365" s="1163"/>
      <c r="H365" s="1273"/>
      <c r="I365" s="1273"/>
      <c r="J365" s="1273"/>
      <c r="K365" s="1272"/>
      <c r="L365" s="1347"/>
      <c r="M365" s="1272"/>
      <c r="N365" s="1272"/>
      <c r="O365" s="1272"/>
    </row>
    <row r="366" spans="2:15" ht="15.75">
      <c r="D366" s="1465"/>
      <c r="E366" s="1263"/>
      <c r="F366" s="1204" t="s">
        <v>304</v>
      </c>
      <c r="G366" s="1116"/>
      <c r="H366" s="1165"/>
      <c r="I366" s="1145"/>
      <c r="J366" s="1119"/>
      <c r="K366" s="1204" t="s">
        <v>305</v>
      </c>
      <c r="L366" s="1116"/>
      <c r="M366" s="1165"/>
      <c r="N366" s="1145"/>
      <c r="O366" s="1119"/>
    </row>
    <row r="367" spans="2:15" ht="16.5" thickBot="1">
      <c r="D367" s="1025"/>
      <c r="E367" s="1030"/>
      <c r="F367" s="1042"/>
      <c r="G367" s="1043"/>
      <c r="H367" s="1044"/>
      <c r="I367" s="1045" t="s">
        <v>1484</v>
      </c>
      <c r="J367" s="1048">
        <f>重み!M103</f>
        <v>0.2</v>
      </c>
      <c r="K367" s="1042"/>
      <c r="L367" s="1043"/>
      <c r="M367" s="1044"/>
      <c r="N367" s="1045" t="s">
        <v>1484</v>
      </c>
      <c r="O367" s="1048">
        <f>重み!M104</f>
        <v>0.2</v>
      </c>
    </row>
    <row r="368" spans="2:15" ht="16.5" thickBot="1">
      <c r="D368" s="1025"/>
      <c r="E368" s="1030"/>
      <c r="F368" s="1049">
        <v>3</v>
      </c>
      <c r="G368" s="1166" t="s">
        <v>1632</v>
      </c>
      <c r="H368" s="1055"/>
      <c r="I368" s="1054"/>
      <c r="J368" s="1055"/>
      <c r="K368" s="1049">
        <v>3</v>
      </c>
      <c r="L368" s="1166" t="s">
        <v>1632</v>
      </c>
      <c r="M368" s="1055"/>
      <c r="N368" s="1166"/>
      <c r="O368" s="1171"/>
    </row>
    <row r="369" spans="2:15" ht="21" customHeight="1">
      <c r="B369" s="1">
        <v>1</v>
      </c>
      <c r="C369" s="1">
        <v>1</v>
      </c>
      <c r="D369" s="1025"/>
      <c r="E369" s="1030"/>
      <c r="F369" s="1056" t="str">
        <f>IF(F368=$S$15,$T$10,IF(ROUNDDOWN(F368,0)=$S$10,$U$10,$T$10))</f>
        <v>　レベル　1</v>
      </c>
      <c r="G369" s="2896" t="s">
        <v>2305</v>
      </c>
      <c r="H369" s="3007"/>
      <c r="I369" s="3007"/>
      <c r="J369" s="3008"/>
      <c r="K369" s="1056" t="str">
        <f>IF(K368=$S$15,$T$10,IF(ROUNDDOWN(K368,0)=$S$10,$U$10,$T$10))</f>
        <v>　レベル　1</v>
      </c>
      <c r="L369" s="2896" t="s">
        <v>2306</v>
      </c>
      <c r="M369" s="3007"/>
      <c r="N369" s="3007"/>
      <c r="O369" s="3008"/>
    </row>
    <row r="370" spans="2:15" ht="38.25" customHeight="1">
      <c r="B370" s="1">
        <v>2</v>
      </c>
      <c r="C370" s="1">
        <v>2</v>
      </c>
      <c r="D370" s="1025"/>
      <c r="E370" s="1030"/>
      <c r="F370" s="1061" t="str">
        <f>IF(F368=$S$15,$T$11,IF(ROUNDDOWN(F368,0)=$S$11,$U$11,$T$11))</f>
        <v>　レベル　2</v>
      </c>
      <c r="G370" s="2933" t="s">
        <v>1656</v>
      </c>
      <c r="H370" s="2934"/>
      <c r="I370" s="2934"/>
      <c r="J370" s="2935"/>
      <c r="K370" s="1061" t="str">
        <f>IF(K368=$S$15,$T$11,IF(ROUNDDOWN(K368,0)=$S$11,$U$11,$T$11))</f>
        <v>　レベル　2</v>
      </c>
      <c r="L370" s="2933" t="s">
        <v>1657</v>
      </c>
      <c r="M370" s="2934"/>
      <c r="N370" s="2934"/>
      <c r="O370" s="2935"/>
    </row>
    <row r="371" spans="2:15" ht="38.25" customHeight="1">
      <c r="B371" s="1">
        <v>3</v>
      </c>
      <c r="C371" s="1">
        <v>3</v>
      </c>
      <c r="D371" s="1025"/>
      <c r="E371" s="1030"/>
      <c r="F371" s="1061" t="str">
        <f>IF(F368=$S$15,$T$12,IF(ROUNDDOWN(F368,0)=$S$12,$U$12,$T$12))</f>
        <v>■レベル　3</v>
      </c>
      <c r="G371" s="2933" t="s">
        <v>306</v>
      </c>
      <c r="H371" s="2934"/>
      <c r="I371" s="2934"/>
      <c r="J371" s="2935"/>
      <c r="K371" s="1061" t="str">
        <f>IF(K368=$S$15,$T$12,IF(ROUNDDOWN(K368,0)=$S$12,$U$12,$T$12))</f>
        <v>■レベル　3</v>
      </c>
      <c r="L371" s="2933" t="s">
        <v>1658</v>
      </c>
      <c r="M371" s="2934"/>
      <c r="N371" s="2934"/>
      <c r="O371" s="2935"/>
    </row>
    <row r="372" spans="2:15" ht="38.25" customHeight="1">
      <c r="B372" s="1">
        <v>4</v>
      </c>
      <c r="C372" s="1">
        <v>4</v>
      </c>
      <c r="D372" s="1025"/>
      <c r="E372" s="1030"/>
      <c r="F372" s="1061" t="str">
        <f>IF(F368=$S$15,$T$13,IF(ROUNDDOWN(F368,0)=$S$13,$U$13,$T$13))</f>
        <v>　レベル　4</v>
      </c>
      <c r="G372" s="2933" t="s">
        <v>1659</v>
      </c>
      <c r="H372" s="2934"/>
      <c r="I372" s="2934"/>
      <c r="J372" s="2935"/>
      <c r="K372" s="1061" t="str">
        <f>IF(K368=$S$15,$T$13,IF(ROUNDDOWN(K368,0)=$S$13,$U$13,$T$13))</f>
        <v>　レベル　4</v>
      </c>
      <c r="L372" s="2933" t="s">
        <v>1660</v>
      </c>
      <c r="M372" s="2934"/>
      <c r="N372" s="2934"/>
      <c r="O372" s="2935"/>
    </row>
    <row r="373" spans="2:15" ht="38.25" customHeight="1">
      <c r="B373" s="1">
        <v>5</v>
      </c>
      <c r="C373" s="1">
        <v>5</v>
      </c>
      <c r="D373" s="1025"/>
      <c r="E373" s="1030"/>
      <c r="F373" s="1072" t="str">
        <f>IF(F368=$S$15,$T$14,IF(ROUNDDOWN(F368,0)=$S$14,$U$14,$T$14))</f>
        <v>　レベル　5</v>
      </c>
      <c r="G373" s="2925" t="s">
        <v>1461</v>
      </c>
      <c r="H373" s="2944"/>
      <c r="I373" s="2944"/>
      <c r="J373" s="2945"/>
      <c r="K373" s="1072" t="str">
        <f>IF(K368=$S$15,$T$14,IF(ROUNDDOWN(K368,0)=$S$14,$U$14,$T$14))</f>
        <v>　レベル　5</v>
      </c>
      <c r="L373" s="2925" t="s">
        <v>1462</v>
      </c>
      <c r="M373" s="2944"/>
      <c r="N373" s="2944"/>
      <c r="O373" s="2945"/>
    </row>
    <row r="374" spans="2:15" ht="15.75">
      <c r="B374" s="1079">
        <v>0</v>
      </c>
      <c r="C374" s="1079">
        <v>0</v>
      </c>
      <c r="D374" s="1025"/>
      <c r="E374" s="1179"/>
      <c r="F374" s="1203"/>
      <c r="G374" s="1203"/>
      <c r="H374" s="1203"/>
      <c r="I374" s="1203"/>
      <c r="J374" s="1201"/>
      <c r="K374" s="1201"/>
      <c r="L374" s="1203"/>
      <c r="M374" s="1203"/>
      <c r="N374" s="1201"/>
      <c r="O374" s="1408"/>
    </row>
    <row r="375" spans="2:15" ht="15.75">
      <c r="D375" s="1025"/>
      <c r="E375" s="1179"/>
      <c r="F375" s="1204" t="s">
        <v>1661</v>
      </c>
      <c r="G375" s="1116"/>
      <c r="H375" s="1165"/>
      <c r="I375" s="1145"/>
      <c r="J375" s="1119"/>
      <c r="K375" s="1204" t="s">
        <v>129</v>
      </c>
      <c r="L375" s="1116"/>
      <c r="M375" s="1165"/>
      <c r="N375" s="1145"/>
      <c r="O375" s="1119"/>
    </row>
    <row r="376" spans="2:15" ht="16.5" thickBot="1">
      <c r="D376" s="1025"/>
      <c r="E376" s="1179"/>
      <c r="F376" s="1042"/>
      <c r="G376" s="1043"/>
      <c r="H376" s="1044"/>
      <c r="I376" s="1045" t="s">
        <v>1484</v>
      </c>
      <c r="J376" s="1048">
        <f>重み!M105</f>
        <v>0.1</v>
      </c>
      <c r="K376" s="1042"/>
      <c r="L376" s="1043"/>
      <c r="M376" s="1044"/>
      <c r="N376" s="1045" t="s">
        <v>1484</v>
      </c>
      <c r="O376" s="1048">
        <f>重み!M106</f>
        <v>0.1</v>
      </c>
    </row>
    <row r="377" spans="2:15" ht="15.75" customHeight="1" thickBot="1">
      <c r="D377" s="1025"/>
      <c r="E377" s="1179"/>
      <c r="F377" s="1049">
        <v>3</v>
      </c>
      <c r="G377" s="1166" t="s">
        <v>1632</v>
      </c>
      <c r="H377" s="1055"/>
      <c r="I377" s="1054"/>
      <c r="J377" s="1055"/>
      <c r="K377" s="1049">
        <v>3</v>
      </c>
      <c r="L377" s="1166" t="s">
        <v>1632</v>
      </c>
      <c r="M377" s="1055"/>
      <c r="N377" s="1166"/>
      <c r="O377" s="1171"/>
    </row>
    <row r="378" spans="2:15" ht="15.75" customHeight="1">
      <c r="B378" s="1">
        <v>1</v>
      </c>
      <c r="C378" s="1">
        <v>1</v>
      </c>
      <c r="D378" s="1025"/>
      <c r="E378" s="1179"/>
      <c r="F378" s="1056" t="str">
        <f>IF(F377=$S$15,$T$10,IF(ROUNDDOWN(F377,0)=$S$10,$U$10,$T$10))</f>
        <v>　レベル　1</v>
      </c>
      <c r="G378" s="2896" t="s">
        <v>1662</v>
      </c>
      <c r="H378" s="3007"/>
      <c r="I378" s="3007"/>
      <c r="J378" s="3008"/>
      <c r="K378" s="1056" t="str">
        <f>IF(K377=$S$15,$T$10,IF(ROUNDDOWN(K377,0)=$S$10,$U$10,$T$10))</f>
        <v>　レベル　1</v>
      </c>
      <c r="L378" s="2896" t="s">
        <v>1663</v>
      </c>
      <c r="M378" s="3007"/>
      <c r="N378" s="3007"/>
      <c r="O378" s="3008"/>
    </row>
    <row r="379" spans="2:15" ht="15.75" customHeight="1">
      <c r="B379" s="1" t="s">
        <v>1637</v>
      </c>
      <c r="C379" s="1" t="s">
        <v>1637</v>
      </c>
      <c r="D379" s="1025"/>
      <c r="E379" s="1179"/>
      <c r="F379" s="1061" t="str">
        <f>IF(F377=$S$15,$T$11,IF(ROUNDDOWN(F377,0)=$S$11,$U$11,$T$11))</f>
        <v>　レベル　2</v>
      </c>
      <c r="G379" s="2933" t="s">
        <v>2365</v>
      </c>
      <c r="H379" s="2934"/>
      <c r="I379" s="2934"/>
      <c r="J379" s="2935"/>
      <c r="K379" s="1061" t="str">
        <f>IF(K377=$S$15,$T$11,IF(ROUNDDOWN(K377,0)=$S$11,$U$11,$T$11))</f>
        <v>　レベル　2</v>
      </c>
      <c r="L379" s="2933" t="s">
        <v>2365</v>
      </c>
      <c r="M379" s="2934"/>
      <c r="N379" s="2934"/>
      <c r="O379" s="2935"/>
    </row>
    <row r="380" spans="2:15" ht="15.75">
      <c r="B380" s="1">
        <v>3</v>
      </c>
      <c r="C380" s="1">
        <v>3</v>
      </c>
      <c r="D380" s="1025"/>
      <c r="E380" s="1179"/>
      <c r="F380" s="1061" t="str">
        <f>IF(F377=$S$15,$T$12,IF(ROUNDDOWN(F377,0)=$S$12,$U$12,$T$12))</f>
        <v>■レベル　3</v>
      </c>
      <c r="G380" s="2933" t="s">
        <v>130</v>
      </c>
      <c r="H380" s="2934"/>
      <c r="I380" s="2934"/>
      <c r="J380" s="2935"/>
      <c r="K380" s="1061" t="str">
        <f>IF(K377=$S$15,$T$12,IF(ROUNDDOWN(K377,0)=$S$12,$U$12,$T$12))</f>
        <v>■レベル　3</v>
      </c>
      <c r="L380" s="2933" t="s">
        <v>131</v>
      </c>
      <c r="M380" s="2934"/>
      <c r="N380" s="2934"/>
      <c r="O380" s="2935"/>
    </row>
    <row r="381" spans="2:15" ht="15.75" customHeight="1">
      <c r="B381" s="1" t="s">
        <v>1637</v>
      </c>
      <c r="C381" s="1" t="s">
        <v>1637</v>
      </c>
      <c r="D381" s="1025"/>
      <c r="E381" s="1179" t="s">
        <v>132</v>
      </c>
      <c r="F381" s="1061" t="str">
        <f>IF(F377=$S$15,$T$13,IF(ROUNDDOWN(F377,0)=$S$13,$U$13,$T$13))</f>
        <v>　レベル　4</v>
      </c>
      <c r="G381" s="2933" t="s">
        <v>2365</v>
      </c>
      <c r="H381" s="2934"/>
      <c r="I381" s="2934"/>
      <c r="J381" s="2935"/>
      <c r="K381" s="1061" t="str">
        <f>IF(K377=$S$15,$T$13,IF(ROUNDDOWN(K377,0)=$S$13,$U$13,$T$13))</f>
        <v>　レベル　4</v>
      </c>
      <c r="L381" s="2933" t="s">
        <v>2365</v>
      </c>
      <c r="M381" s="2934"/>
      <c r="N381" s="2934"/>
      <c r="O381" s="2935"/>
    </row>
    <row r="382" spans="2:15" ht="32.25" customHeight="1">
      <c r="B382" s="1">
        <v>5</v>
      </c>
      <c r="C382" s="1">
        <v>5</v>
      </c>
      <c r="D382" s="1025"/>
      <c r="E382" s="1179"/>
      <c r="F382" s="1072" t="str">
        <f>IF(F377=$S$15,$T$14,IF(ROUNDDOWN(F377,0)=$S$14,$U$14,$T$14))</f>
        <v>　レベル　5</v>
      </c>
      <c r="G382" s="2925" t="s">
        <v>1664</v>
      </c>
      <c r="H382" s="2944"/>
      <c r="I382" s="2944"/>
      <c r="J382" s="2945"/>
      <c r="K382" s="1072" t="str">
        <f>IF(K377=$S$15,$T$14,IF(ROUNDDOWN(K377,0)=$S$14,$U$14,$T$14))</f>
        <v>　レベル　5</v>
      </c>
      <c r="L382" s="2925" t="s">
        <v>1665</v>
      </c>
      <c r="M382" s="2944"/>
      <c r="N382" s="2944"/>
      <c r="O382" s="2945"/>
    </row>
    <row r="383" spans="2:15" ht="15.75">
      <c r="B383" s="1079">
        <v>0</v>
      </c>
      <c r="C383" s="1079">
        <v>0</v>
      </c>
      <c r="D383" s="1025"/>
      <c r="E383" s="1179"/>
      <c r="F383" s="1203"/>
      <c r="G383" s="1203"/>
      <c r="H383" s="1203"/>
      <c r="I383" s="1203"/>
      <c r="J383" s="1201"/>
      <c r="K383" s="1201"/>
      <c r="L383" s="1203"/>
      <c r="M383" s="1203"/>
      <c r="N383" s="1201"/>
      <c r="O383" s="1408"/>
    </row>
    <row r="384" spans="2:15" ht="15.75">
      <c r="D384" s="1025"/>
      <c r="E384" s="1179"/>
      <c r="F384" s="1204" t="s">
        <v>1666</v>
      </c>
      <c r="G384" s="1116"/>
      <c r="H384" s="1165"/>
      <c r="I384" s="1145"/>
      <c r="J384" s="1119"/>
      <c r="K384" s="1204" t="s">
        <v>1667</v>
      </c>
      <c r="L384" s="1116"/>
      <c r="M384" s="1165"/>
      <c r="N384" s="1145"/>
      <c r="O384" s="1119"/>
    </row>
    <row r="385" spans="2:15" ht="16.5" thickBot="1">
      <c r="D385" s="1025"/>
      <c r="E385" s="1179"/>
      <c r="F385" s="1042"/>
      <c r="G385" s="1043"/>
      <c r="H385" s="1044"/>
      <c r="I385" s="1045" t="s">
        <v>1484</v>
      </c>
      <c r="J385" s="1048">
        <f>重み!M107</f>
        <v>0.2</v>
      </c>
      <c r="K385" s="1042"/>
      <c r="L385" s="1043"/>
      <c r="M385" s="1044"/>
      <c r="N385" s="1045" t="s">
        <v>1484</v>
      </c>
      <c r="O385" s="1048">
        <f>重み!M108</f>
        <v>0.2</v>
      </c>
    </row>
    <row r="386" spans="2:15" ht="16.5" thickBot="1">
      <c r="D386" s="1025"/>
      <c r="E386" s="1179"/>
      <c r="F386" s="1049">
        <v>3</v>
      </c>
      <c r="G386" s="1166" t="s">
        <v>1632</v>
      </c>
      <c r="H386" s="1055"/>
      <c r="I386" s="1054"/>
      <c r="J386" s="1055"/>
      <c r="K386" s="1049">
        <v>3</v>
      </c>
      <c r="L386" s="1166" t="s">
        <v>1632</v>
      </c>
      <c r="M386" s="1055"/>
      <c r="N386" s="1166"/>
      <c r="O386" s="1171"/>
    </row>
    <row r="387" spans="2:15" ht="30.75" customHeight="1">
      <c r="B387" s="1">
        <v>1</v>
      </c>
      <c r="C387" s="1" t="s">
        <v>1637</v>
      </c>
      <c r="D387" s="1025"/>
      <c r="E387" s="1409" t="str">
        <f>IF(AND(D389="対象外",H388&gt;0.001),"★入力エラー：レベル１～５を選択し直してください！","")</f>
        <v/>
      </c>
      <c r="F387" s="1056" t="str">
        <f>IF(F386=$S$15,$T$10,IF(ROUNDDOWN(F386,0)=$S$10,$U$10,$T$10))</f>
        <v>　レベル　1</v>
      </c>
      <c r="G387" s="2896" t="s">
        <v>60</v>
      </c>
      <c r="H387" s="3007"/>
      <c r="I387" s="3007"/>
      <c r="J387" s="3008"/>
      <c r="K387" s="1056" t="str">
        <f>IF(K386=$S$15,$T$10,IF(ROUNDDOWN(K386,0)=$S$10,$U$10,$T$10))</f>
        <v>　レベル　1</v>
      </c>
      <c r="L387" s="2896" t="s">
        <v>2365</v>
      </c>
      <c r="M387" s="3007"/>
      <c r="N387" s="3007"/>
      <c r="O387" s="3008"/>
    </row>
    <row r="388" spans="2:15" ht="15.75">
      <c r="B388" s="1" t="s">
        <v>1637</v>
      </c>
      <c r="C388" s="1" t="s">
        <v>1637</v>
      </c>
      <c r="D388" s="1025"/>
      <c r="E388" s="1179"/>
      <c r="F388" s="1061" t="str">
        <f>IF(F386=$S$15,$T$11,IF(ROUNDDOWN(F386,0)=$S$11,$U$11,$T$11))</f>
        <v>　レベル　2</v>
      </c>
      <c r="G388" s="2933" t="s">
        <v>2365</v>
      </c>
      <c r="H388" s="2934"/>
      <c r="I388" s="2934"/>
      <c r="J388" s="2935"/>
      <c r="K388" s="1061" t="str">
        <f>IF(K386=$S$15,$T$11,IF(ROUNDDOWN(K386,0)=$S$11,$U$11,$T$11))</f>
        <v>　レベル　2</v>
      </c>
      <c r="L388" s="2933" t="s">
        <v>2365</v>
      </c>
      <c r="M388" s="2934"/>
      <c r="N388" s="2934"/>
      <c r="O388" s="2935"/>
    </row>
    <row r="389" spans="2:15" ht="35.25" customHeight="1">
      <c r="B389" s="1">
        <v>3</v>
      </c>
      <c r="C389" s="1">
        <v>3</v>
      </c>
      <c r="D389" s="1025"/>
      <c r="E389" s="1179"/>
      <c r="F389" s="1061" t="str">
        <f>IF(F386=$S$15,$T$12,IF(ROUNDDOWN(F386,0)=$S$12,$U$12,$T$12))</f>
        <v>■レベル　3</v>
      </c>
      <c r="G389" s="2933" t="s">
        <v>61</v>
      </c>
      <c r="H389" s="2934"/>
      <c r="I389" s="2934"/>
      <c r="J389" s="2935"/>
      <c r="K389" s="1061" t="str">
        <f>IF(K386=$S$15,$T$12,IF(ROUNDDOWN(K386,0)=$S$12,$U$12,$T$12))</f>
        <v>■レベル　3</v>
      </c>
      <c r="L389" s="2933" t="s">
        <v>1668</v>
      </c>
      <c r="M389" s="2934"/>
      <c r="N389" s="2934"/>
      <c r="O389" s="2935"/>
    </row>
    <row r="390" spans="2:15" ht="31.5" customHeight="1">
      <c r="B390" s="1">
        <v>4</v>
      </c>
      <c r="C390" s="1">
        <v>4</v>
      </c>
      <c r="D390" s="1025"/>
      <c r="E390" s="1179"/>
      <c r="F390" s="1061" t="str">
        <f>IF(F386=$S$15,$T$13,IF(ROUNDDOWN(F386,0)=$S$13,$U$13,$T$13))</f>
        <v>　レベル　4</v>
      </c>
      <c r="G390" s="2933" t="s">
        <v>63</v>
      </c>
      <c r="H390" s="2934"/>
      <c r="I390" s="2934"/>
      <c r="J390" s="2935"/>
      <c r="K390" s="1061" t="str">
        <f>IF(K386=$S$15,$T$13,IF(ROUNDDOWN(K386,0)=$S$13,$U$13,$T$13))</f>
        <v>　レベル　4</v>
      </c>
      <c r="L390" s="2933" t="s">
        <v>554</v>
      </c>
      <c r="M390" s="2934"/>
      <c r="N390" s="2934"/>
      <c r="O390" s="2935"/>
    </row>
    <row r="391" spans="2:15" ht="36.75" customHeight="1">
      <c r="B391" s="1">
        <v>5</v>
      </c>
      <c r="C391" s="1" t="s">
        <v>1637</v>
      </c>
      <c r="D391" s="1025"/>
      <c r="E391" s="1179"/>
      <c r="F391" s="1072" t="str">
        <f>IF(F386=$S$15,$T$14,IF(ROUNDDOWN(F386,0)=$S$14,$U$14,$T$14))</f>
        <v>　レベル　5</v>
      </c>
      <c r="G391" s="2925" t="s">
        <v>62</v>
      </c>
      <c r="H391" s="2944"/>
      <c r="I391" s="2944"/>
      <c r="J391" s="2945"/>
      <c r="K391" s="1072" t="str">
        <f>IF(K386=$S$15,$T$14,IF(ROUNDDOWN(K386,0)=$S$14,$U$14,$T$14))</f>
        <v>　レベル　5</v>
      </c>
      <c r="L391" s="2925" t="s">
        <v>2365</v>
      </c>
      <c r="M391" s="2944"/>
      <c r="N391" s="2944"/>
      <c r="O391" s="2945"/>
    </row>
    <row r="392" spans="2:15">
      <c r="B392" s="1079">
        <v>0</v>
      </c>
      <c r="C392" s="1079">
        <v>0</v>
      </c>
    </row>
    <row r="393" spans="2:15" hidden="1"/>
    <row r="394" spans="2:15" hidden="1"/>
    <row r="395" spans="2:15" hidden="1"/>
    <row r="396" spans="2:15"/>
    <row r="397" spans="2:15"/>
    <row r="398" spans="2:15"/>
  </sheetData>
  <sheetProtection password="9DA9" sheet="1" objects="1" scenarios="1"/>
  <mergeCells count="323">
    <mergeCell ref="H148:J148"/>
    <mergeCell ref="L148:N148"/>
    <mergeCell ref="G143:H143"/>
    <mergeCell ref="I143:M143"/>
    <mergeCell ref="I144:K144"/>
    <mergeCell ref="L59:O59"/>
    <mergeCell ref="G60:J60"/>
    <mergeCell ref="H161:I161"/>
    <mergeCell ref="J161:N161"/>
    <mergeCell ref="H156:J156"/>
    <mergeCell ref="L156:N156"/>
    <mergeCell ref="H153:J153"/>
    <mergeCell ref="L153:N153"/>
    <mergeCell ref="H154:J154"/>
    <mergeCell ref="L154:N154"/>
    <mergeCell ref="H151:J151"/>
    <mergeCell ref="L151:N151"/>
    <mergeCell ref="H152:J152"/>
    <mergeCell ref="L152:N152"/>
    <mergeCell ref="H165:N165"/>
    <mergeCell ref="L387:O387"/>
    <mergeCell ref="G388:J388"/>
    <mergeCell ref="L388:O388"/>
    <mergeCell ref="G241:J241"/>
    <mergeCell ref="L236:O236"/>
    <mergeCell ref="G235:J235"/>
    <mergeCell ref="G269:H269"/>
    <mergeCell ref="I269:J269"/>
    <mergeCell ref="G295:H295"/>
    <mergeCell ref="I295:J295"/>
    <mergeCell ref="G270:H270"/>
    <mergeCell ref="I270:J270"/>
    <mergeCell ref="G272:H272"/>
    <mergeCell ref="I272:J272"/>
    <mergeCell ref="G271:H271"/>
    <mergeCell ref="I271:J271"/>
    <mergeCell ref="G280:L280"/>
    <mergeCell ref="G283:L283"/>
    <mergeCell ref="G284:L284"/>
    <mergeCell ref="I291:J291"/>
    <mergeCell ref="K291:L291"/>
    <mergeCell ref="K252:L252"/>
    <mergeCell ref="M291:N291"/>
    <mergeCell ref="G13:H13"/>
    <mergeCell ref="I13:J13"/>
    <mergeCell ref="L373:O373"/>
    <mergeCell ref="G378:J378"/>
    <mergeCell ref="I338:J338"/>
    <mergeCell ref="G387:J387"/>
    <mergeCell ref="K250:L250"/>
    <mergeCell ref="K258:L258"/>
    <mergeCell ref="G359:H359"/>
    <mergeCell ref="I359:J359"/>
    <mergeCell ref="N359:O359"/>
    <mergeCell ref="L348:O348"/>
    <mergeCell ref="K295:L295"/>
    <mergeCell ref="M295:N295"/>
    <mergeCell ref="N339:O339"/>
    <mergeCell ref="L340:M340"/>
    <mergeCell ref="N340:O340"/>
    <mergeCell ref="L352:O352"/>
    <mergeCell ref="L342:M342"/>
    <mergeCell ref="L233:O233"/>
    <mergeCell ref="L234:O234"/>
    <mergeCell ref="L235:O235"/>
    <mergeCell ref="H162:I162"/>
    <mergeCell ref="J162:N162"/>
    <mergeCell ref="G391:J391"/>
    <mergeCell ref="L391:O391"/>
    <mergeCell ref="G389:J389"/>
    <mergeCell ref="L389:O389"/>
    <mergeCell ref="G390:J390"/>
    <mergeCell ref="L390:O390"/>
    <mergeCell ref="L372:O372"/>
    <mergeCell ref="N360:O360"/>
    <mergeCell ref="G361:H361"/>
    <mergeCell ref="L382:O382"/>
    <mergeCell ref="G379:J379"/>
    <mergeCell ref="N361:O361"/>
    <mergeCell ref="G360:H360"/>
    <mergeCell ref="G373:J373"/>
    <mergeCell ref="K361:L361"/>
    <mergeCell ref="G382:J382"/>
    <mergeCell ref="L379:O379"/>
    <mergeCell ref="G371:J371"/>
    <mergeCell ref="L371:O371"/>
    <mergeCell ref="G372:J372"/>
    <mergeCell ref="I361:J361"/>
    <mergeCell ref="I360:J360"/>
    <mergeCell ref="G369:J369"/>
    <mergeCell ref="L369:O369"/>
    <mergeCell ref="G285:L285"/>
    <mergeCell ref="G282:L282"/>
    <mergeCell ref="G279:L279"/>
    <mergeCell ref="G261:L261"/>
    <mergeCell ref="G253:H253"/>
    <mergeCell ref="G255:H255"/>
    <mergeCell ref="L232:O232"/>
    <mergeCell ref="L198:O198"/>
    <mergeCell ref="G206:J206"/>
    <mergeCell ref="G207:J207"/>
    <mergeCell ref="I198:J198"/>
    <mergeCell ref="G198:H198"/>
    <mergeCell ref="G208:J208"/>
    <mergeCell ref="L216:O216"/>
    <mergeCell ref="L217:O217"/>
    <mergeCell ref="G243:J243"/>
    <mergeCell ref="K251:L251"/>
    <mergeCell ref="I252:J252"/>
    <mergeCell ref="F185:F186"/>
    <mergeCell ref="I185:K185"/>
    <mergeCell ref="L185:N185"/>
    <mergeCell ref="I186:K186"/>
    <mergeCell ref="L186:N186"/>
    <mergeCell ref="G184:H186"/>
    <mergeCell ref="I184:K184"/>
    <mergeCell ref="L184:N184"/>
    <mergeCell ref="I181:K181"/>
    <mergeCell ref="L181:N181"/>
    <mergeCell ref="F182:F183"/>
    <mergeCell ref="I182:K182"/>
    <mergeCell ref="L182:N182"/>
    <mergeCell ref="I183:K183"/>
    <mergeCell ref="L183:N183"/>
    <mergeCell ref="G181:H183"/>
    <mergeCell ref="F179:F180"/>
    <mergeCell ref="I179:K179"/>
    <mergeCell ref="L179:N179"/>
    <mergeCell ref="I180:K180"/>
    <mergeCell ref="L180:N180"/>
    <mergeCell ref="N170:O174"/>
    <mergeCell ref="G178:H180"/>
    <mergeCell ref="I178:K178"/>
    <mergeCell ref="L178:N178"/>
    <mergeCell ref="L60:O60"/>
    <mergeCell ref="G58:J58"/>
    <mergeCell ref="G57:J57"/>
    <mergeCell ref="L57:O57"/>
    <mergeCell ref="G41:H41"/>
    <mergeCell ref="I41:J41"/>
    <mergeCell ref="N41:O41"/>
    <mergeCell ref="G42:H42"/>
    <mergeCell ref="I42:J42"/>
    <mergeCell ref="N42:O42"/>
    <mergeCell ref="G50:J50"/>
    <mergeCell ref="K50:N50"/>
    <mergeCell ref="G49:J49"/>
    <mergeCell ref="K49:N49"/>
    <mergeCell ref="G48:J48"/>
    <mergeCell ref="K48:N48"/>
    <mergeCell ref="G51:J51"/>
    <mergeCell ref="K51:N51"/>
    <mergeCell ref="G56:J56"/>
    <mergeCell ref="L56:O56"/>
    <mergeCell ref="L58:O58"/>
    <mergeCell ref="G59:J59"/>
    <mergeCell ref="L14:M14"/>
    <mergeCell ref="N14:O14"/>
    <mergeCell ref="G19:J19"/>
    <mergeCell ref="L19:O19"/>
    <mergeCell ref="G23:J23"/>
    <mergeCell ref="L23:O23"/>
    <mergeCell ref="N39:O39"/>
    <mergeCell ref="G47:J47"/>
    <mergeCell ref="K47:N47"/>
    <mergeCell ref="G40:H40"/>
    <mergeCell ref="I40:J40"/>
    <mergeCell ref="N40:O40"/>
    <mergeCell ref="I38:J38"/>
    <mergeCell ref="N38:O38"/>
    <mergeCell ref="G39:H39"/>
    <mergeCell ref="I39:J39"/>
    <mergeCell ref="G21:J21"/>
    <mergeCell ref="L21:O21"/>
    <mergeCell ref="G28:N28"/>
    <mergeCell ref="G29:N29"/>
    <mergeCell ref="G30:N30"/>
    <mergeCell ref="G31:N31"/>
    <mergeCell ref="G32:N32"/>
    <mergeCell ref="G10:H10"/>
    <mergeCell ref="I10:J10"/>
    <mergeCell ref="G11:H11"/>
    <mergeCell ref="I11:J11"/>
    <mergeCell ref="L10:M10"/>
    <mergeCell ref="N10:O10"/>
    <mergeCell ref="L11:M11"/>
    <mergeCell ref="N11:O11"/>
    <mergeCell ref="L12:M12"/>
    <mergeCell ref="N12:O12"/>
    <mergeCell ref="G12:H12"/>
    <mergeCell ref="I12:J12"/>
    <mergeCell ref="L13:M13"/>
    <mergeCell ref="G20:J20"/>
    <mergeCell ref="N13:O13"/>
    <mergeCell ref="G22:J22"/>
    <mergeCell ref="L22:O22"/>
    <mergeCell ref="G14:H14"/>
    <mergeCell ref="I14:J14"/>
    <mergeCell ref="L20:O20"/>
    <mergeCell ref="G381:J381"/>
    <mergeCell ref="L381:O381"/>
    <mergeCell ref="G363:H363"/>
    <mergeCell ref="I363:J363"/>
    <mergeCell ref="N363:O363"/>
    <mergeCell ref="G370:J370"/>
    <mergeCell ref="L370:O370"/>
    <mergeCell ref="G380:J380"/>
    <mergeCell ref="L380:O380"/>
    <mergeCell ref="L378:O378"/>
    <mergeCell ref="K363:L363"/>
    <mergeCell ref="G38:H38"/>
    <mergeCell ref="I292:J292"/>
    <mergeCell ref="G273:H273"/>
    <mergeCell ref="I273:J273"/>
    <mergeCell ref="G281:L281"/>
    <mergeCell ref="G64:J64"/>
    <mergeCell ref="L64:O64"/>
    <mergeCell ref="G65:J65"/>
    <mergeCell ref="L65:O65"/>
    <mergeCell ref="G244:J244"/>
    <mergeCell ref="G245:J245"/>
    <mergeCell ref="H146:J146"/>
    <mergeCell ref="L146:N146"/>
    <mergeCell ref="H155:J155"/>
    <mergeCell ref="L155:N155"/>
    <mergeCell ref="G242:J242"/>
    <mergeCell ref="L127:O127"/>
    <mergeCell ref="L128:O128"/>
    <mergeCell ref="G129:K129"/>
    <mergeCell ref="H149:J149"/>
    <mergeCell ref="L149:N149"/>
    <mergeCell ref="L197:O197"/>
    <mergeCell ref="I197:J197"/>
    <mergeCell ref="G197:H197"/>
    <mergeCell ref="G196:H196"/>
    <mergeCell ref="L196:O196"/>
    <mergeCell ref="I196:J196"/>
    <mergeCell ref="G187:H187"/>
    <mergeCell ref="L194:O194"/>
    <mergeCell ref="L343:M343"/>
    <mergeCell ref="N343:O343"/>
    <mergeCell ref="M292:N292"/>
    <mergeCell ref="K292:L292"/>
    <mergeCell ref="G254:H254"/>
    <mergeCell ref="I254:J254"/>
    <mergeCell ref="K254:L254"/>
    <mergeCell ref="G262:L262"/>
    <mergeCell ref="L129:O129"/>
    <mergeCell ref="G131:K131"/>
    <mergeCell ref="I255:J255"/>
    <mergeCell ref="K255:L255"/>
    <mergeCell ref="G252:H252"/>
    <mergeCell ref="G251:H251"/>
    <mergeCell ref="I251:J251"/>
    <mergeCell ref="L195:O195"/>
    <mergeCell ref="I194:J194"/>
    <mergeCell ref="I195:J195"/>
    <mergeCell ref="G194:H194"/>
    <mergeCell ref="G195:H195"/>
    <mergeCell ref="G264:L264"/>
    <mergeCell ref="G263:L263"/>
    <mergeCell ref="I253:J253"/>
    <mergeCell ref="K253:L253"/>
    <mergeCell ref="L131:O131"/>
    <mergeCell ref="G132:K132"/>
    <mergeCell ref="K362:L362"/>
    <mergeCell ref="G294:H294"/>
    <mergeCell ref="I294:J294"/>
    <mergeCell ref="K294:L294"/>
    <mergeCell ref="L351:O351"/>
    <mergeCell ref="L349:O349"/>
    <mergeCell ref="L350:O350"/>
    <mergeCell ref="G362:H362"/>
    <mergeCell ref="I362:J362"/>
    <mergeCell ref="L339:M339"/>
    <mergeCell ref="N362:O362"/>
    <mergeCell ref="G358:H358"/>
    <mergeCell ref="G305:N305"/>
    <mergeCell ref="G300:N300"/>
    <mergeCell ref="G301:N301"/>
    <mergeCell ref="G302:N302"/>
    <mergeCell ref="G332:L332"/>
    <mergeCell ref="N342:O342"/>
    <mergeCell ref="K359:L359"/>
    <mergeCell ref="K360:L360"/>
    <mergeCell ref="L341:M341"/>
    <mergeCell ref="N341:O341"/>
    <mergeCell ref="G66:J66"/>
    <mergeCell ref="L66:O66"/>
    <mergeCell ref="G112:I112"/>
    <mergeCell ref="G67:J67"/>
    <mergeCell ref="L67:O67"/>
    <mergeCell ref="N73:O77"/>
    <mergeCell ref="N117:O121"/>
    <mergeCell ref="L125:O125"/>
    <mergeCell ref="L130:O130"/>
    <mergeCell ref="L126:O126"/>
    <mergeCell ref="K94:M94"/>
    <mergeCell ref="G103:I103"/>
    <mergeCell ref="L132:O132"/>
    <mergeCell ref="G303:N303"/>
    <mergeCell ref="G304:N304"/>
    <mergeCell ref="G329:L329"/>
    <mergeCell ref="G293:H293"/>
    <mergeCell ref="I293:J293"/>
    <mergeCell ref="K293:L293"/>
    <mergeCell ref="M294:N294"/>
    <mergeCell ref="M293:N293"/>
    <mergeCell ref="G291:H291"/>
    <mergeCell ref="G292:H292"/>
    <mergeCell ref="H150:J150"/>
    <mergeCell ref="L150:N150"/>
    <mergeCell ref="H147:J147"/>
    <mergeCell ref="L147:N147"/>
    <mergeCell ref="L137:O137"/>
    <mergeCell ref="G141:H141"/>
    <mergeCell ref="I141:M141"/>
    <mergeCell ref="G142:H142"/>
    <mergeCell ref="I142:M142"/>
    <mergeCell ref="L133:O133"/>
    <mergeCell ref="L134:O134"/>
    <mergeCell ref="L135:O135"/>
    <mergeCell ref="L136:O136"/>
  </mergeCells>
  <phoneticPr fontId="21"/>
  <conditionalFormatting sqref="K9 K18 M37 K193 K203 K212 K221 K231 K338 K347 M358 K377 K368 K386">
    <cfRule type="expression" dxfId="97" priority="12" stopIfTrue="1">
      <formula>AND(OR(K9&lt;1,K9&gt;5),K9&lt;&gt;0)</formula>
    </cfRule>
    <cfRule type="expression" dxfId="96" priority="13" stopIfTrue="1">
      <formula>$O8&gt;0</formula>
    </cfRule>
  </conditionalFormatting>
  <conditionalFormatting sqref="H325 H275 H297 H257">
    <cfRule type="expression" dxfId="95" priority="14" stopIfTrue="1">
      <formula>J249&gt;0</formula>
    </cfRule>
  </conditionalFormatting>
  <conditionalFormatting sqref="F327 F332">
    <cfRule type="expression" dxfId="94" priority="15" stopIfTrue="1">
      <formula>AND($J$317&gt;0.001,$H$325=$T$3)</formula>
    </cfRule>
  </conditionalFormatting>
  <conditionalFormatting sqref="F328:F331">
    <cfRule type="expression" dxfId="93" priority="16" stopIfTrue="1">
      <formula>AND($J$317&gt;0.001,$H$325=$T$3)</formula>
    </cfRule>
  </conditionalFormatting>
  <conditionalFormatting sqref="F261:F264">
    <cfRule type="expression" dxfId="92" priority="17" stopIfTrue="1">
      <formula>AND($J$249&gt;0.0001,H$257=$T$3)</formula>
    </cfRule>
  </conditionalFormatting>
  <conditionalFormatting sqref="F9 F18 F27 F37 F46 F212 F193 F203 F221 F386 F338 F347 F358 F368 F377 F309 F231 F240">
    <cfRule type="expression" dxfId="91" priority="18" stopIfTrue="1">
      <formula>AND(OR(F9&lt;1,F9&gt;5),F9&lt;&gt;0)</formula>
    </cfRule>
    <cfRule type="expression" dxfId="90" priority="19" stopIfTrue="1">
      <formula>$J8&gt;0</formula>
    </cfRule>
  </conditionalFormatting>
  <conditionalFormatting sqref="F325 F297 F275 F257 F123 F79 F62">
    <cfRule type="expression" dxfId="89" priority="20" stopIfTrue="1">
      <formula>AND(OR(F62&lt;1,F62&gt;5),F62&lt;&gt;0)</formula>
    </cfRule>
    <cfRule type="expression" dxfId="88" priority="21" stopIfTrue="1">
      <formula>AND($J54&gt;0,$H62="ON")</formula>
    </cfRule>
  </conditionalFormatting>
  <conditionalFormatting sqref="F300:F305">
    <cfRule type="expression" dxfId="87" priority="22" stopIfTrue="1">
      <formula>AND($J$289&gt;0.001,$H$297=$T$3)</formula>
    </cfRule>
  </conditionalFormatting>
  <conditionalFormatting sqref="F279:F283">
    <cfRule type="expression" dxfId="86" priority="23" stopIfTrue="1">
      <formula>AND($J$267&gt;0.001,$H$275=$T$3)</formula>
    </cfRule>
  </conditionalFormatting>
  <conditionalFormatting sqref="F284:F285">
    <cfRule type="expression" dxfId="85" priority="24" stopIfTrue="1">
      <formula>AND($J$267&gt;0.001,$H$275=$T$3,$G$277&gt;0)</formula>
    </cfRule>
  </conditionalFormatting>
  <conditionalFormatting sqref="H123">
    <cfRule type="expression" dxfId="84" priority="30" stopIfTrue="1">
      <formula>$J$115&gt;0</formula>
    </cfRule>
  </conditionalFormatting>
  <conditionalFormatting sqref="F125:F137">
    <cfRule type="expression" dxfId="83" priority="31" stopIfTrue="1">
      <formula>AND($J$115&gt;0,$H$123=$T$4)</formula>
    </cfRule>
    <cfRule type="expression" dxfId="82" priority="32" stopIfTrue="1">
      <formula>$J$115&gt;0</formula>
    </cfRule>
  </conditionalFormatting>
  <conditionalFormatting sqref="H79">
    <cfRule type="expression" dxfId="81" priority="33" stopIfTrue="1">
      <formula>$J$71&gt;0</formula>
    </cfRule>
  </conditionalFormatting>
  <conditionalFormatting sqref="F81:F92">
    <cfRule type="expression" dxfId="80" priority="34" stopIfTrue="1">
      <formula>AND($J$71&gt;0,$H$79=$T$4)</formula>
    </cfRule>
    <cfRule type="expression" dxfId="79" priority="35" stopIfTrue="1">
      <formula>$J$71&gt;0</formula>
    </cfRule>
  </conditionalFormatting>
  <conditionalFormatting sqref="F64:F67">
    <cfRule type="expression" dxfId="78" priority="36" stopIfTrue="1">
      <formula>AND($J$54&gt;0,$H$62&lt;&gt;"ON")</formula>
    </cfRule>
  </conditionalFormatting>
  <conditionalFormatting sqref="K64:K67">
    <cfRule type="expression" dxfId="77" priority="37" stopIfTrue="1">
      <formula>AND($O$54&gt;0,$M$62&lt;&gt;"ON")</formula>
    </cfRule>
  </conditionalFormatting>
  <conditionalFormatting sqref="H62">
    <cfRule type="expression" dxfId="76" priority="38" stopIfTrue="1">
      <formula>$J$54&gt;0</formula>
    </cfRule>
  </conditionalFormatting>
  <conditionalFormatting sqref="M62">
    <cfRule type="expression" dxfId="75" priority="39" stopIfTrue="1">
      <formula>$O$54&gt;0</formula>
    </cfRule>
  </conditionalFormatting>
  <conditionalFormatting sqref="K62">
    <cfRule type="expression" dxfId="74" priority="40" stopIfTrue="1">
      <formula>AND(OR(K62&lt;1,K62&gt;5),K62&lt;&gt;0)</formula>
    </cfRule>
    <cfRule type="expression" dxfId="73" priority="41" stopIfTrue="1">
      <formula>AND($O$54&gt;0,$M$62="ON")</formula>
    </cfRule>
  </conditionalFormatting>
  <conditionalFormatting sqref="K94">
    <cfRule type="expression" dxfId="72" priority="9" stopIfTrue="1">
      <formula>$O$3=$U$3</formula>
    </cfRule>
  </conditionalFormatting>
  <conditionalFormatting sqref="F96:F102">
    <cfRule type="expression" dxfId="71" priority="10" stopIfTrue="1">
      <formula>OR($J$71=0,500&gt;=$M$71,$K$94&lt;&gt;$V$4)</formula>
    </cfRule>
  </conditionalFormatting>
  <conditionalFormatting sqref="F106:F111">
    <cfRule type="expression" dxfId="70" priority="11" stopIfTrue="1">
      <formula>AND($J$71&gt;0,$K$94&lt;&gt;$V$4,$M$71&gt;500)</formula>
    </cfRule>
  </conditionalFormatting>
  <conditionalFormatting sqref="I144">
    <cfRule type="expression" dxfId="69" priority="8" stopIfTrue="1">
      <formula>$O$3=$U$3</formula>
    </cfRule>
  </conditionalFormatting>
  <conditionalFormatting sqref="F156 F151:F152 F154 F146">
    <cfRule type="expression" dxfId="68" priority="5" stopIfTrue="1">
      <formula>AND($J$115&gt;0,$M$115&gt;500)</formula>
    </cfRule>
  </conditionalFormatting>
  <conditionalFormatting sqref="F147:F148">
    <cfRule type="expression" dxfId="67" priority="6" stopIfTrue="1">
      <formula>AND($J$115&gt;0,$M$115&gt;500,$I$144=$V$4)</formula>
    </cfRule>
  </conditionalFormatting>
  <conditionalFormatting sqref="F149:F150 F153 F155">
    <cfRule type="expression" dxfId="66" priority="7" stopIfTrue="1">
      <formula>AND($J$115&gt;0,$M$115&gt;500,$I$144&lt;&gt;$V$4)</formula>
    </cfRule>
  </conditionalFormatting>
  <conditionalFormatting sqref="F178:F186">
    <cfRule type="expression" dxfId="65" priority="1" stopIfTrue="1">
      <formula>$J$168&gt;0</formula>
    </cfRule>
  </conditionalFormatting>
  <conditionalFormatting sqref="F176">
    <cfRule type="expression" dxfId="64" priority="2" stopIfTrue="1">
      <formula>AND(OR(F176&lt;1,F176&gt;5),F176&lt;&gt;0)</formula>
    </cfRule>
    <cfRule type="expression" dxfId="63" priority="3" stopIfTrue="1">
      <formula>AND($J168&gt;0,$H176="ON")</formula>
    </cfRule>
  </conditionalFormatting>
  <conditionalFormatting sqref="H176">
    <cfRule type="expression" dxfId="62" priority="4" stopIfTrue="1">
      <formula>$J$168&gt;0</formula>
    </cfRule>
  </conditionalFormatting>
  <dataValidations count="15">
    <dataValidation type="list" allowBlank="1" showInputMessage="1" sqref="K9 K18 M37 K193 K203 K212 K221 K231 K338 K347 M358 K368 K377 K386">
      <formula1>$C10:$C15</formula1>
    </dataValidation>
    <dataValidation type="list" allowBlank="1" showInputMessage="1" showErrorMessage="1" sqref="F327:F332 F261:F264 F279:F285 F300:F305">
      <formula1>$S$3:$S$4</formula1>
    </dataValidation>
    <dataValidation type="list" allowBlank="1" showInputMessage="1" sqref="F9 F18 F27 F37 F46 F212 F193 F203 F221 F338 F347 F358 F368 F377 F386 F309 F275 F257 F240 F231 F79 F123 F176">
      <formula1>$B10:$B15</formula1>
    </dataValidation>
    <dataValidation type="list" allowBlank="1" showInputMessage="1" sqref="F297">
      <formula1>$B298:$B302</formula1>
    </dataValidation>
    <dataValidation type="list" allowBlank="1" showInputMessage="1" showErrorMessage="1" sqref="H325 H297 M62 H62 H79 H123 H275 H257 H176">
      <formula1>$T$3:$T$4</formula1>
    </dataValidation>
    <dataValidation type="list" allowBlank="1" showInputMessage="1" showErrorMessage="1" sqref="F178 F184 F181">
      <formula1>"0,-1"</formula1>
    </dataValidation>
    <dataValidation type="list" allowBlank="1" showInputMessage="1" showErrorMessage="1" sqref="F153:F155 F100 F102 F150:F151 F146 F110:F111 F97 F185 F182 F179:F180">
      <formula1>"0,1"</formula1>
    </dataValidation>
    <dataValidation type="list" allowBlank="1" showInputMessage="1" showErrorMessage="1" sqref="F98 F106:F108 F96 F147:F148">
      <formula1>"0,3"</formula1>
    </dataValidation>
    <dataValidation type="list" allowBlank="1" showInputMessage="1" showErrorMessage="1" sqref="F109 F99 F101 F152 F149 F156">
      <formula1>"0,2"</formula1>
    </dataValidation>
    <dataValidation type="list" allowBlank="1" showInputMessage="1" showErrorMessage="1" sqref="K94:M94 I144:K144">
      <formula1>$V$3:$V$4</formula1>
    </dataValidation>
    <dataValidation type="list" allowBlank="1" showInputMessage="1" showErrorMessage="1" sqref="F125 F81">
      <formula1>"○, "</formula1>
    </dataValidation>
    <dataValidation type="list" allowBlank="1" showInputMessage="1" showErrorMessage="1" sqref="F126:F137 F64:F67 K64:K67 F82:F92">
      <formula1>"○,　"</formula1>
    </dataValidation>
    <dataValidation type="list" allowBlank="1" showInputMessage="1" sqref="K62">
      <formula1>$C$56:$C$61</formula1>
    </dataValidation>
    <dataValidation type="list" allowBlank="1" showInputMessage="1" sqref="F62">
      <formula1>$B$56:$B$61</formula1>
    </dataValidation>
    <dataValidation type="list" allowBlank="1" showInputMessage="1" sqref="F325">
      <formula1>$B326:$B332</formula1>
    </dataValidation>
  </dataValidations>
  <printOptions horizontalCentered="1"/>
  <pageMargins left="0.59055118110236227" right="0.59055118110236227" top="0.78740157480314965" bottom="0.59055118110236227" header="0.51181102362204722" footer="0.51181102362204722"/>
  <pageSetup paperSize="9" scale="67" fitToHeight="6" orientation="portrait" verticalDpi="4294967293" r:id="rId1"/>
  <headerFooter alignWithMargins="0">
    <oddHeader>&amp;L&amp;F&amp;R&amp;A</oddHeader>
    <oddFooter>&amp;C&amp;P/&amp;N</oddFooter>
  </headerFooter>
  <rowBreaks count="5" manualBreakCount="5">
    <brk id="43" min="2" max="15" man="1"/>
    <brk id="113" min="2" max="15" man="1"/>
    <brk id="209" min="2" max="15" man="1"/>
    <brk id="287" min="2" max="15" man="1"/>
    <brk id="355" min="2" max="15"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74"/>
  <sheetViews>
    <sheetView showGridLines="0" zoomScaleNormal="100" workbookViewId="0"/>
  </sheetViews>
  <sheetFormatPr defaultColWidth="0" defaultRowHeight="13.5" zeroHeight="1"/>
  <cols>
    <col min="1" max="1" width="2.375" customWidth="1"/>
    <col min="2" max="2" width="7.125" hidden="1" customWidth="1"/>
    <col min="3" max="3" width="3.375" hidden="1" customWidth="1"/>
    <col min="4" max="4" width="4.375" style="2559" customWidth="1"/>
    <col min="5" max="5" width="2.125" style="144" customWidth="1"/>
    <col min="6" max="8" width="12.125" style="144" customWidth="1"/>
    <col min="9" max="9" width="14.875" style="144" customWidth="1"/>
    <col min="10" max="15" width="12.125" style="144" customWidth="1"/>
    <col min="16" max="16" width="1.75" customWidth="1"/>
    <col min="17" max="17" width="10.125" hidden="1" customWidth="1"/>
  </cols>
  <sheetData>
    <row r="1" spans="2:21" ht="15.75">
      <c r="D1" s="1025"/>
      <c r="E1" s="1410"/>
      <c r="F1" s="1411"/>
      <c r="G1" s="1411"/>
      <c r="H1" s="1411"/>
      <c r="I1" s="1411"/>
      <c r="J1" s="1412"/>
      <c r="K1" s="1411"/>
      <c r="L1" s="1411"/>
      <c r="M1" s="1022" t="s">
        <v>2952</v>
      </c>
      <c r="N1" s="1023" t="str">
        <f>メイン!C11</f>
        <v>○○ビル</v>
      </c>
      <c r="O1" s="1024"/>
      <c r="R1" t="s">
        <v>1450</v>
      </c>
    </row>
    <row r="2" spans="2:21" ht="16.5" thickBot="1">
      <c r="D2" s="1025"/>
      <c r="E2" s="577"/>
      <c r="F2" s="1026"/>
      <c r="G2" s="1026"/>
      <c r="H2" s="1026"/>
      <c r="I2" s="1026"/>
      <c r="J2" s="1413"/>
      <c r="K2" s="1026"/>
      <c r="L2" s="1026"/>
      <c r="M2" s="1026"/>
      <c r="N2" s="1026"/>
      <c r="O2" s="1026"/>
    </row>
    <row r="3" spans="2:21" ht="18.75" thickBot="1">
      <c r="D3" s="1414" t="s">
        <v>2836</v>
      </c>
      <c r="E3" s="1415"/>
      <c r="F3" s="1027"/>
      <c r="G3" s="1027"/>
      <c r="H3" s="1028"/>
      <c r="I3" s="1029" t="s">
        <v>2827</v>
      </c>
      <c r="J3" s="1416"/>
      <c r="K3" s="1416"/>
      <c r="L3" s="1030"/>
      <c r="M3" s="1030"/>
      <c r="N3" s="1416"/>
      <c r="O3" s="1417" t="str">
        <f>IF(メイン!E39=0,"",メイン!E39)</f>
        <v>基本設計段階</v>
      </c>
      <c r="R3">
        <v>0</v>
      </c>
      <c r="S3" t="s">
        <v>2837</v>
      </c>
      <c r="U3" t="str">
        <f>メイン!I39</f>
        <v>基本設計段階</v>
      </c>
    </row>
    <row r="4" spans="2:21" ht="17.25">
      <c r="D4" s="1025"/>
      <c r="E4" s="1415"/>
      <c r="F4" s="1027"/>
      <c r="G4" s="1027"/>
      <c r="H4" s="1027"/>
      <c r="I4" s="1027"/>
      <c r="J4" s="1418"/>
      <c r="K4" s="1027"/>
      <c r="L4" s="1027"/>
      <c r="M4" s="1027"/>
      <c r="N4" s="1027"/>
      <c r="O4" s="1027"/>
      <c r="R4">
        <v>1</v>
      </c>
      <c r="T4" t="s">
        <v>2838</v>
      </c>
      <c r="U4" t="str">
        <f>メイン!I40</f>
        <v>実施設計段階</v>
      </c>
    </row>
    <row r="5" spans="2:21" ht="17.25">
      <c r="D5" s="1551">
        <v>1</v>
      </c>
      <c r="E5" s="1263" t="s">
        <v>555</v>
      </c>
      <c r="F5" s="1033"/>
      <c r="G5" s="1027"/>
      <c r="H5" s="1027"/>
      <c r="I5" s="1027"/>
      <c r="J5" s="1418"/>
      <c r="K5" s="1027"/>
      <c r="L5" s="1027"/>
      <c r="M5" s="1027"/>
      <c r="N5" s="1027"/>
      <c r="O5" s="1027"/>
      <c r="R5">
        <v>2</v>
      </c>
      <c r="U5" t="str">
        <f>メイン!I41</f>
        <v>竣工段階</v>
      </c>
    </row>
    <row r="6" spans="2:21" ht="15" thickBot="1">
      <c r="D6" s="2562"/>
      <c r="E6" s="1419"/>
      <c r="F6" s="1042"/>
      <c r="G6" s="1043"/>
      <c r="H6" s="1044"/>
      <c r="I6" s="1044"/>
      <c r="J6" s="1044"/>
      <c r="K6" s="1044"/>
      <c r="L6" s="1044"/>
      <c r="M6" s="3073" t="s">
        <v>1484</v>
      </c>
      <c r="N6" s="3073"/>
      <c r="O6" s="1420">
        <f>重み!M110</f>
        <v>0.3</v>
      </c>
      <c r="S6" t="s">
        <v>2839</v>
      </c>
    </row>
    <row r="7" spans="2:21" ht="19.5" customHeight="1" thickBot="1">
      <c r="D7" s="1551"/>
      <c r="E7" s="1263"/>
      <c r="F7" s="1421">
        <f>ROUND(IF(H28&lt;=3,1,IF(H28&lt;=6,2,IF(H28&lt;=9,3,IF(H28&lt;=12,4,IF(H28&gt;=13,5))))),0)</f>
        <v>3</v>
      </c>
      <c r="G7" s="3123" t="s">
        <v>556</v>
      </c>
      <c r="H7" s="3124"/>
      <c r="I7" s="3124"/>
      <c r="J7" s="3124"/>
      <c r="K7" s="3124"/>
      <c r="L7" s="3124"/>
      <c r="M7" s="3124"/>
      <c r="N7" s="3124"/>
      <c r="O7" s="3124"/>
      <c r="R7" t="s">
        <v>242</v>
      </c>
      <c r="S7" t="s">
        <v>2840</v>
      </c>
    </row>
    <row r="8" spans="2:21" ht="26.25" customHeight="1">
      <c r="D8" s="1025"/>
      <c r="E8" s="1035"/>
      <c r="F8" s="1056" t="str">
        <f>IF(ROUNDDOWN($F$7,0)=$S$10,$U$10,$T$10)</f>
        <v>　レベル　1</v>
      </c>
      <c r="G8" s="1058" t="s">
        <v>247</v>
      </c>
      <c r="H8" s="1059"/>
      <c r="I8" s="1059"/>
      <c r="J8" s="1059"/>
      <c r="K8" s="1059"/>
      <c r="L8" s="1059"/>
      <c r="M8" s="1059"/>
      <c r="N8" s="1059"/>
      <c r="O8" s="1060"/>
    </row>
    <row r="9" spans="2:21" ht="26.25" customHeight="1">
      <c r="D9" s="1025"/>
      <c r="E9" s="1035"/>
      <c r="F9" s="1061" t="str">
        <f>IF(ROUNDDOWN($F$7,0)=$S$11,$U$11,$T$11)</f>
        <v>　レベル　2</v>
      </c>
      <c r="G9" s="1065" t="s">
        <v>2841</v>
      </c>
      <c r="H9" s="1066"/>
      <c r="I9" s="1066"/>
      <c r="J9" s="1066"/>
      <c r="K9" s="1066"/>
      <c r="L9" s="1066"/>
      <c r="M9" s="1066"/>
      <c r="N9" s="1066"/>
      <c r="O9" s="1067"/>
    </row>
    <row r="10" spans="2:21" ht="26.25" customHeight="1">
      <c r="D10" s="1025"/>
      <c r="E10" s="1035"/>
      <c r="F10" s="1061" t="str">
        <f>IF(ROUNDDOWN($F$7,0)=$S$12,$U$12,$T$12)</f>
        <v>■レベル　3</v>
      </c>
      <c r="G10" s="1065" t="s">
        <v>2842</v>
      </c>
      <c r="H10" s="1066"/>
      <c r="I10" s="1066"/>
      <c r="J10" s="1066"/>
      <c r="K10" s="1066"/>
      <c r="L10" s="1066"/>
      <c r="M10" s="1066"/>
      <c r="N10" s="1066"/>
      <c r="O10" s="1067"/>
      <c r="S10">
        <v>1</v>
      </c>
      <c r="T10" t="s">
        <v>2843</v>
      </c>
      <c r="U10" t="s">
        <v>2844</v>
      </c>
    </row>
    <row r="11" spans="2:21" ht="27" customHeight="1">
      <c r="D11" s="1025"/>
      <c r="E11" s="1035"/>
      <c r="F11" s="1061" t="str">
        <f>IF(ROUNDDOWN($F$7,0)=$S$13,$U$13,$T$13)</f>
        <v>　レベル　4</v>
      </c>
      <c r="G11" s="1065" t="s">
        <v>2845</v>
      </c>
      <c r="H11" s="1066"/>
      <c r="I11" s="1066"/>
      <c r="J11" s="1066"/>
      <c r="K11" s="1066"/>
      <c r="L11" s="1066"/>
      <c r="M11" s="1066"/>
      <c r="N11" s="1066"/>
      <c r="O11" s="1067"/>
      <c r="S11">
        <v>2</v>
      </c>
      <c r="T11" t="s">
        <v>1451</v>
      </c>
      <c r="U11" t="s">
        <v>1452</v>
      </c>
    </row>
    <row r="12" spans="2:21" ht="26.25" customHeight="1">
      <c r="D12" s="1025"/>
      <c r="E12" s="1035"/>
      <c r="F12" s="1072" t="str">
        <f>IF(ROUNDDOWN($F$7,0)=$S$14,$U$14,$T$14)</f>
        <v>　レベル　5</v>
      </c>
      <c r="G12" s="1076" t="s">
        <v>2846</v>
      </c>
      <c r="H12" s="1077"/>
      <c r="I12" s="1077"/>
      <c r="J12" s="1077"/>
      <c r="K12" s="1077"/>
      <c r="L12" s="1077"/>
      <c r="M12" s="1077"/>
      <c r="N12" s="1077"/>
      <c r="O12" s="1078"/>
      <c r="S12">
        <v>3</v>
      </c>
      <c r="T12" t="s">
        <v>1457</v>
      </c>
      <c r="U12" t="s">
        <v>1458</v>
      </c>
    </row>
    <row r="13" spans="2:21" ht="20.25" customHeight="1">
      <c r="D13" s="1025"/>
      <c r="E13" s="1035"/>
      <c r="F13" s="1410"/>
      <c r="G13" s="1423" t="s">
        <v>466</v>
      </c>
      <c r="H13" s="1026"/>
      <c r="I13" s="1424"/>
      <c r="J13" s="1413"/>
      <c r="K13" s="1026"/>
      <c r="L13" s="1026"/>
      <c r="M13" s="1026"/>
      <c r="N13" s="1026"/>
      <c r="O13" s="1026"/>
      <c r="S13">
        <v>4</v>
      </c>
      <c r="T13" t="s">
        <v>1335</v>
      </c>
      <c r="U13" t="s">
        <v>1336</v>
      </c>
    </row>
    <row r="14" spans="2:21" ht="16.5" thickBot="1">
      <c r="D14" s="1025"/>
      <c r="E14" s="1035"/>
      <c r="F14" s="1410"/>
      <c r="G14" s="1425" t="s">
        <v>248</v>
      </c>
      <c r="H14" s="3078" t="s">
        <v>1877</v>
      </c>
      <c r="I14" s="3079"/>
      <c r="J14" s="3078" t="s">
        <v>1870</v>
      </c>
      <c r="K14" s="3079"/>
      <c r="L14" s="3079"/>
      <c r="M14" s="3079"/>
      <c r="N14" s="3080"/>
      <c r="O14" s="1317" t="s">
        <v>1878</v>
      </c>
      <c r="S14">
        <v>5</v>
      </c>
      <c r="T14" t="s">
        <v>1342</v>
      </c>
      <c r="U14" t="s">
        <v>1343</v>
      </c>
    </row>
    <row r="15" spans="2:21" ht="34.5" customHeight="1">
      <c r="B15" s="1234" t="s">
        <v>249</v>
      </c>
      <c r="D15" s="1025"/>
      <c r="E15" s="577"/>
      <c r="F15" s="1410"/>
      <c r="G15" s="1427">
        <v>2</v>
      </c>
      <c r="H15" s="3041" t="s">
        <v>2847</v>
      </c>
      <c r="I15" s="3125"/>
      <c r="J15" s="3117" t="s">
        <v>250</v>
      </c>
      <c r="K15" s="3117"/>
      <c r="L15" s="3117"/>
      <c r="M15" s="3117"/>
      <c r="N15" s="3118"/>
      <c r="O15" s="1428">
        <v>2</v>
      </c>
      <c r="S15">
        <v>0</v>
      </c>
      <c r="T15" t="s">
        <v>2848</v>
      </c>
      <c r="U15" t="s">
        <v>2848</v>
      </c>
    </row>
    <row r="16" spans="2:21" ht="27" customHeight="1">
      <c r="B16" s="1234"/>
      <c r="D16" s="1025"/>
      <c r="E16" s="577"/>
      <c r="F16" s="1410"/>
      <c r="G16" s="1429">
        <v>2</v>
      </c>
      <c r="H16" s="2966" t="s">
        <v>2849</v>
      </c>
      <c r="I16" s="3126"/>
      <c r="J16" s="2984" t="s">
        <v>230</v>
      </c>
      <c r="K16" s="3064"/>
      <c r="L16" s="3064"/>
      <c r="M16" s="3064"/>
      <c r="N16" s="3065"/>
      <c r="O16" s="1432">
        <v>2</v>
      </c>
    </row>
    <row r="17" spans="4:15" ht="34.5" customHeight="1">
      <c r="D17" s="1025"/>
      <c r="E17" s="577"/>
      <c r="F17" s="1410"/>
      <c r="G17" s="3136">
        <v>1</v>
      </c>
      <c r="H17" s="3130" t="s">
        <v>231</v>
      </c>
      <c r="I17" s="3131"/>
      <c r="J17" s="3083" t="s">
        <v>232</v>
      </c>
      <c r="K17" s="3084"/>
      <c r="L17" s="3084"/>
      <c r="M17" s="3084"/>
      <c r="N17" s="3085"/>
      <c r="O17" s="3127" t="s">
        <v>251</v>
      </c>
    </row>
    <row r="18" spans="4:15" ht="27" customHeight="1">
      <c r="D18" s="1025"/>
      <c r="E18" s="577"/>
      <c r="F18" s="1410"/>
      <c r="G18" s="3137"/>
      <c r="H18" s="3132"/>
      <c r="I18" s="3133"/>
      <c r="J18" s="3091" t="s">
        <v>233</v>
      </c>
      <c r="K18" s="3092"/>
      <c r="L18" s="3092"/>
      <c r="M18" s="3092"/>
      <c r="N18" s="3093"/>
      <c r="O18" s="3128"/>
    </row>
    <row r="19" spans="4:15" ht="27" customHeight="1">
      <c r="D19" s="1025"/>
      <c r="E19" s="577"/>
      <c r="F19" s="1410"/>
      <c r="G19" s="3138"/>
      <c r="H19" s="3132"/>
      <c r="I19" s="3133"/>
      <c r="J19" s="2981" t="s">
        <v>1250</v>
      </c>
      <c r="K19" s="3081"/>
      <c r="L19" s="3081"/>
      <c r="M19" s="3081"/>
      <c r="N19" s="3082"/>
      <c r="O19" s="3129"/>
    </row>
    <row r="20" spans="4:15" ht="27" customHeight="1">
      <c r="D20" s="1025"/>
      <c r="E20" s="577"/>
      <c r="F20" s="1410"/>
      <c r="G20" s="3136">
        <v>1</v>
      </c>
      <c r="H20" s="3132"/>
      <c r="I20" s="3133"/>
      <c r="J20" s="3083" t="s">
        <v>1251</v>
      </c>
      <c r="K20" s="3084"/>
      <c r="L20" s="3084"/>
      <c r="M20" s="3084"/>
      <c r="N20" s="3085"/>
      <c r="O20" s="3127" t="s">
        <v>252</v>
      </c>
    </row>
    <row r="21" spans="4:15" ht="27" customHeight="1">
      <c r="D21" s="1025"/>
      <c r="E21" s="577"/>
      <c r="F21" s="1410"/>
      <c r="G21" s="3138"/>
      <c r="H21" s="3134"/>
      <c r="I21" s="3135"/>
      <c r="J21" s="2981" t="s">
        <v>1252</v>
      </c>
      <c r="K21" s="3081"/>
      <c r="L21" s="3081"/>
      <c r="M21" s="3081"/>
      <c r="N21" s="3082"/>
      <c r="O21" s="3129"/>
    </row>
    <row r="22" spans="4:15" ht="27" customHeight="1">
      <c r="D22" s="1025"/>
      <c r="E22" s="577"/>
      <c r="F22" s="1410"/>
      <c r="G22" s="1438">
        <v>1</v>
      </c>
      <c r="H22" s="3106" t="s">
        <v>1253</v>
      </c>
      <c r="I22" s="3107"/>
      <c r="J22" s="2984" t="s">
        <v>1254</v>
      </c>
      <c r="K22" s="3064"/>
      <c r="L22" s="3064"/>
      <c r="M22" s="3064"/>
      <c r="N22" s="3065"/>
      <c r="O22" s="1432">
        <v>1</v>
      </c>
    </row>
    <row r="23" spans="4:15" ht="27" customHeight="1">
      <c r="D23" s="1025"/>
      <c r="E23" s="577"/>
      <c r="F23" s="1410"/>
      <c r="G23" s="1438">
        <v>0</v>
      </c>
      <c r="H23" s="3108"/>
      <c r="I23" s="3109"/>
      <c r="J23" s="2984" t="s">
        <v>1255</v>
      </c>
      <c r="K23" s="3064"/>
      <c r="L23" s="3064"/>
      <c r="M23" s="3064"/>
      <c r="N23" s="3065"/>
      <c r="O23" s="1432">
        <v>1</v>
      </c>
    </row>
    <row r="24" spans="4:15" ht="27" customHeight="1">
      <c r="D24" s="1025"/>
      <c r="E24" s="577"/>
      <c r="F24" s="1410"/>
      <c r="G24" s="1438">
        <v>0</v>
      </c>
      <c r="H24" s="3110"/>
      <c r="I24" s="3111"/>
      <c r="J24" s="2984" t="s">
        <v>1256</v>
      </c>
      <c r="K24" s="3064"/>
      <c r="L24" s="3064"/>
      <c r="M24" s="3064"/>
      <c r="N24" s="3065"/>
      <c r="O24" s="1432">
        <v>1</v>
      </c>
    </row>
    <row r="25" spans="4:15" ht="27" customHeight="1">
      <c r="D25" s="1025"/>
      <c r="E25" s="577"/>
      <c r="F25" s="1410"/>
      <c r="G25" s="1438">
        <v>0</v>
      </c>
      <c r="H25" s="3106" t="s">
        <v>1257</v>
      </c>
      <c r="I25" s="3107"/>
      <c r="J25" s="2984" t="s">
        <v>1258</v>
      </c>
      <c r="K25" s="3064"/>
      <c r="L25" s="3064"/>
      <c r="M25" s="3064"/>
      <c r="N25" s="3065"/>
      <c r="O25" s="1432">
        <v>1</v>
      </c>
    </row>
    <row r="26" spans="4:15" ht="27" customHeight="1">
      <c r="D26" s="1025"/>
      <c r="E26" s="577"/>
      <c r="F26" s="1410"/>
      <c r="G26" s="1438">
        <v>0</v>
      </c>
      <c r="H26" s="3110"/>
      <c r="I26" s="3111"/>
      <c r="J26" s="2984" t="s">
        <v>3038</v>
      </c>
      <c r="K26" s="3064"/>
      <c r="L26" s="3064"/>
      <c r="M26" s="3064"/>
      <c r="N26" s="3065"/>
      <c r="O26" s="1432">
        <v>1</v>
      </c>
    </row>
    <row r="27" spans="4:15" ht="27" customHeight="1" thickBot="1">
      <c r="D27" s="1025"/>
      <c r="E27" s="577"/>
      <c r="F27" s="1410"/>
      <c r="G27" s="1439">
        <v>0</v>
      </c>
      <c r="H27" s="2966" t="s">
        <v>3039</v>
      </c>
      <c r="I27" s="3126"/>
      <c r="J27" s="2984" t="s">
        <v>253</v>
      </c>
      <c r="K27" s="3064"/>
      <c r="L27" s="3064"/>
      <c r="M27" s="3064"/>
      <c r="N27" s="3065"/>
      <c r="O27" s="1432">
        <v>1</v>
      </c>
    </row>
    <row r="28" spans="4:15" ht="25.5" customHeight="1">
      <c r="D28" s="1025"/>
      <c r="E28" s="577"/>
      <c r="F28" s="1410"/>
      <c r="G28" s="1312" t="s">
        <v>3040</v>
      </c>
      <c r="H28" s="2987">
        <f>SUM(G15:G27)</f>
        <v>7</v>
      </c>
      <c r="I28" s="2987"/>
      <c r="J28" s="1314"/>
      <c r="K28" s="1315"/>
      <c r="L28" s="1314"/>
      <c r="M28" s="1315"/>
      <c r="N28" s="1314"/>
      <c r="O28" s="1324"/>
    </row>
    <row r="29" spans="4:15" ht="14.25" customHeight="1"/>
    <row r="30" spans="4:15" ht="14.25" customHeight="1">
      <c r="D30" s="1551">
        <v>2</v>
      </c>
      <c r="E30" s="1263" t="s">
        <v>254</v>
      </c>
      <c r="F30" s="1033"/>
    </row>
    <row r="31" spans="4:15" ht="15" thickBot="1">
      <c r="D31" s="2562"/>
      <c r="E31" s="1419"/>
      <c r="F31" s="1042"/>
      <c r="G31" s="1043"/>
      <c r="H31" s="1044"/>
      <c r="I31" s="1044"/>
      <c r="J31" s="1044"/>
      <c r="K31" s="1044"/>
      <c r="L31" s="1044"/>
      <c r="M31" s="3073" t="s">
        <v>1484</v>
      </c>
      <c r="N31" s="3073"/>
      <c r="O31" s="1420">
        <f>重み!M111</f>
        <v>0.4</v>
      </c>
    </row>
    <row r="32" spans="4:15" ht="26.25" customHeight="1" thickBot="1">
      <c r="D32" s="1551"/>
      <c r="E32" s="1263"/>
      <c r="F32" s="1421">
        <f>IF(I39="ON",G39,ROUND(IF(H50=0,1,IF(H50&lt;=2,2,IF(H50&lt;=3,3,IF(H50&lt;=4,4,IF(H50&gt;=5,5))))),0))</f>
        <v>3</v>
      </c>
      <c r="G32" s="3074" t="s">
        <v>556</v>
      </c>
      <c r="H32" s="3075"/>
      <c r="I32" s="3075"/>
      <c r="J32" s="3075"/>
      <c r="K32" s="3075"/>
      <c r="L32" s="3075"/>
      <c r="M32" s="3075"/>
      <c r="N32" s="3075"/>
      <c r="O32" s="2895"/>
    </row>
    <row r="33" spans="4:15" ht="26.25" customHeight="1">
      <c r="D33" s="1025"/>
      <c r="E33" s="1035"/>
      <c r="F33" s="1061" t="str">
        <f>IF(ROUNDDOWN($F$32,0)=$S$10,$U$10,$T$10)</f>
        <v>　レベル　1</v>
      </c>
      <c r="G33" s="3028" t="s">
        <v>255</v>
      </c>
      <c r="H33" s="3042"/>
      <c r="I33" s="3042"/>
      <c r="J33" s="3042"/>
      <c r="K33" s="3042"/>
      <c r="L33" s="3042"/>
      <c r="M33" s="3042"/>
      <c r="N33" s="3042"/>
      <c r="O33" s="3043"/>
    </row>
    <row r="34" spans="4:15" ht="26.25" customHeight="1">
      <c r="D34" s="1025"/>
      <c r="E34" s="1035"/>
      <c r="F34" s="1061" t="str">
        <f>IF(ROUNDDOWN($F$32,0)=$S$11,$U$11,$T$11)</f>
        <v>　レベル　2</v>
      </c>
      <c r="G34" s="2984" t="s">
        <v>2607</v>
      </c>
      <c r="H34" s="3064"/>
      <c r="I34" s="3064"/>
      <c r="J34" s="3064"/>
      <c r="K34" s="3064"/>
      <c r="L34" s="3064"/>
      <c r="M34" s="3064"/>
      <c r="N34" s="3064"/>
      <c r="O34" s="3065"/>
    </row>
    <row r="35" spans="4:15" ht="26.25" customHeight="1">
      <c r="D35" s="1025"/>
      <c r="E35" s="1035"/>
      <c r="F35" s="1061" t="str">
        <f>IF(ROUNDDOWN($F$32,0)=$S$12,$U$12,$T$12)</f>
        <v>■レベル　3</v>
      </c>
      <c r="G35" s="2984" t="s">
        <v>377</v>
      </c>
      <c r="H35" s="3064"/>
      <c r="I35" s="3064"/>
      <c r="J35" s="3064"/>
      <c r="K35" s="3064"/>
      <c r="L35" s="3064"/>
      <c r="M35" s="3064"/>
      <c r="N35" s="3064"/>
      <c r="O35" s="3065"/>
    </row>
    <row r="36" spans="4:15" ht="25.5" customHeight="1">
      <c r="D36" s="1025"/>
      <c r="E36" s="1035"/>
      <c r="F36" s="1061" t="str">
        <f>IF(ROUNDDOWN($F$32,0)=$S$13,$U$13,$T$13)</f>
        <v>　レベル　4</v>
      </c>
      <c r="G36" s="2984" t="s">
        <v>256</v>
      </c>
      <c r="H36" s="3064"/>
      <c r="I36" s="3064"/>
      <c r="J36" s="3064"/>
      <c r="K36" s="3064"/>
      <c r="L36" s="3064"/>
      <c r="M36" s="3064"/>
      <c r="N36" s="3064"/>
      <c r="O36" s="3065"/>
    </row>
    <row r="37" spans="4:15" ht="26.25" customHeight="1">
      <c r="D37" s="1025"/>
      <c r="E37" s="1035"/>
      <c r="F37" s="1072" t="str">
        <f>IF(ROUNDDOWN($F$32,0)=$S$14,$U$14,$T$14)</f>
        <v>　レベル　5</v>
      </c>
      <c r="G37" s="2978" t="s">
        <v>257</v>
      </c>
      <c r="H37" s="3066"/>
      <c r="I37" s="3066"/>
      <c r="J37" s="3066"/>
      <c r="K37" s="3066"/>
      <c r="L37" s="3066"/>
      <c r="M37" s="3066"/>
      <c r="N37" s="3066"/>
      <c r="O37" s="3067"/>
    </row>
    <row r="38" spans="4:15" ht="7.5" customHeight="1" thickBot="1">
      <c r="D38" s="1025"/>
      <c r="E38" s="1290"/>
      <c r="F38" s="1290"/>
      <c r="G38" s="1290"/>
      <c r="H38" s="1290"/>
      <c r="I38" s="1290"/>
      <c r="J38" s="1290"/>
      <c r="K38" s="1290"/>
      <c r="L38" s="1290"/>
      <c r="M38" s="1290"/>
      <c r="N38" s="1290"/>
      <c r="O38" s="1290"/>
    </row>
    <row r="39" spans="4:15" ht="23.25" customHeight="1" thickBot="1">
      <c r="D39" s="1025"/>
      <c r="E39" s="1035"/>
      <c r="F39" s="1410"/>
      <c r="G39" s="1049">
        <v>3</v>
      </c>
      <c r="H39" s="1442" t="s">
        <v>2921</v>
      </c>
      <c r="I39" s="1135"/>
      <c r="J39" s="152"/>
      <c r="K39" s="152"/>
      <c r="L39" s="152"/>
      <c r="M39" s="152"/>
      <c r="N39" s="152"/>
      <c r="O39" s="152"/>
    </row>
    <row r="40" spans="4:15" ht="52.5" customHeight="1">
      <c r="D40" s="1025"/>
      <c r="E40" s="1290"/>
      <c r="F40" s="1290"/>
      <c r="G40" s="3115" t="s">
        <v>378</v>
      </c>
      <c r="H40" s="3116"/>
      <c r="I40" s="3116"/>
      <c r="J40" s="3116"/>
      <c r="K40" s="3116"/>
      <c r="L40" s="3116"/>
      <c r="M40" s="3116"/>
      <c r="N40" s="3116"/>
      <c r="O40" s="3116"/>
    </row>
    <row r="41" spans="4:15" ht="21" customHeight="1">
      <c r="D41" s="1025"/>
      <c r="E41" s="1035"/>
      <c r="F41" s="1410"/>
      <c r="G41" s="1423" t="s">
        <v>466</v>
      </c>
      <c r="H41" s="1026"/>
      <c r="I41" s="1424"/>
      <c r="J41" s="1413"/>
      <c r="K41" s="1026"/>
      <c r="L41" s="1026"/>
      <c r="M41" s="1026"/>
      <c r="N41" s="1026"/>
      <c r="O41" s="1026"/>
    </row>
    <row r="42" spans="4:15" ht="25.5" customHeight="1" thickBot="1">
      <c r="D42" s="1025"/>
      <c r="E42" s="1035"/>
      <c r="F42" s="1410"/>
      <c r="G42" s="1425" t="s">
        <v>248</v>
      </c>
      <c r="H42" s="3078" t="s">
        <v>1877</v>
      </c>
      <c r="I42" s="3079"/>
      <c r="J42" s="3078" t="s">
        <v>1870</v>
      </c>
      <c r="K42" s="3079"/>
      <c r="L42" s="3079"/>
      <c r="M42" s="3079"/>
      <c r="N42" s="3080"/>
      <c r="O42" s="1317" t="s">
        <v>1878</v>
      </c>
    </row>
    <row r="43" spans="4:15" ht="39.75" customHeight="1">
      <c r="D43" s="1025"/>
      <c r="E43" s="577"/>
      <c r="F43" s="1410"/>
      <c r="G43" s="1443">
        <v>2</v>
      </c>
      <c r="H43" s="3041" t="s">
        <v>379</v>
      </c>
      <c r="I43" s="3125"/>
      <c r="J43" s="3117" t="s">
        <v>380</v>
      </c>
      <c r="K43" s="3117"/>
      <c r="L43" s="3117"/>
      <c r="M43" s="3117"/>
      <c r="N43" s="3118"/>
      <c r="O43" s="1428">
        <v>2</v>
      </c>
    </row>
    <row r="44" spans="4:15" ht="25.5" customHeight="1">
      <c r="D44" s="1025"/>
      <c r="E44" s="577"/>
      <c r="F44" s="1410"/>
      <c r="G44" s="1444">
        <v>1</v>
      </c>
      <c r="H44" s="2966" t="s">
        <v>258</v>
      </c>
      <c r="I44" s="3141"/>
      <c r="J44" s="2984" t="s">
        <v>2608</v>
      </c>
      <c r="K44" s="3064"/>
      <c r="L44" s="3064"/>
      <c r="M44" s="3064"/>
      <c r="N44" s="3065"/>
      <c r="O44" s="1432">
        <v>1</v>
      </c>
    </row>
    <row r="45" spans="4:15" ht="39.75" customHeight="1">
      <c r="D45" s="1025"/>
      <c r="E45" s="577"/>
      <c r="F45" s="1410"/>
      <c r="G45" s="1444">
        <v>0</v>
      </c>
      <c r="H45" s="2966" t="s">
        <v>2609</v>
      </c>
      <c r="I45" s="3141"/>
      <c r="J45" s="2984" t="s">
        <v>143</v>
      </c>
      <c r="K45" s="3064"/>
      <c r="L45" s="3064"/>
      <c r="M45" s="3064"/>
      <c r="N45" s="3065"/>
      <c r="O45" s="1445">
        <v>1</v>
      </c>
    </row>
    <row r="46" spans="4:15" ht="25.5" customHeight="1">
      <c r="D46" s="1025"/>
      <c r="E46" s="577"/>
      <c r="F46" s="1410"/>
      <c r="G46" s="1444">
        <v>0</v>
      </c>
      <c r="H46" s="2966" t="s">
        <v>259</v>
      </c>
      <c r="I46" s="3141"/>
      <c r="J46" s="2984" t="s">
        <v>144</v>
      </c>
      <c r="K46" s="3064"/>
      <c r="L46" s="3064"/>
      <c r="M46" s="3064"/>
      <c r="N46" s="3065"/>
      <c r="O46" s="1445">
        <v>1</v>
      </c>
    </row>
    <row r="47" spans="4:15" ht="39.75" customHeight="1">
      <c r="D47" s="1025"/>
      <c r="E47" s="577"/>
      <c r="F47" s="1410"/>
      <c r="G47" s="1444">
        <v>0</v>
      </c>
      <c r="H47" s="2966" t="s">
        <v>260</v>
      </c>
      <c r="I47" s="3126"/>
      <c r="J47" s="2984" t="s">
        <v>145</v>
      </c>
      <c r="K47" s="3064"/>
      <c r="L47" s="3064"/>
      <c r="M47" s="3064"/>
      <c r="N47" s="3065"/>
      <c r="O47" s="1445">
        <v>1</v>
      </c>
    </row>
    <row r="48" spans="4:15" ht="25.5" customHeight="1">
      <c r="D48" s="1025"/>
      <c r="E48" s="577"/>
      <c r="F48" s="1410"/>
      <c r="G48" s="3142">
        <v>0</v>
      </c>
      <c r="H48" s="3106" t="s">
        <v>261</v>
      </c>
      <c r="I48" s="3144"/>
      <c r="J48" s="1446" t="s">
        <v>146</v>
      </c>
      <c r="K48" s="1434"/>
      <c r="L48" s="1434"/>
      <c r="M48" s="1434"/>
      <c r="N48" s="1435"/>
      <c r="O48" s="3100">
        <v>1</v>
      </c>
    </row>
    <row r="49" spans="2:15" ht="25.5" customHeight="1" thickBot="1">
      <c r="D49" s="1025"/>
      <c r="E49" s="577"/>
      <c r="F49" s="1410"/>
      <c r="G49" s="3143"/>
      <c r="H49" s="3145"/>
      <c r="I49" s="3146"/>
      <c r="J49" s="3096"/>
      <c r="K49" s="3097"/>
      <c r="L49" s="3097"/>
      <c r="M49" s="3097"/>
      <c r="N49" s="3098"/>
      <c r="O49" s="3147"/>
    </row>
    <row r="50" spans="2:15" ht="29.25" customHeight="1">
      <c r="D50" s="1025"/>
      <c r="E50" s="577"/>
      <c r="F50" s="1410"/>
      <c r="G50" s="1312" t="s">
        <v>147</v>
      </c>
      <c r="H50" s="2987">
        <f>SUM(G43:G49)</f>
        <v>3</v>
      </c>
      <c r="I50" s="2987"/>
      <c r="J50" s="1314"/>
      <c r="K50" s="1315"/>
      <c r="L50" s="1314"/>
      <c r="M50" s="1315"/>
      <c r="N50" s="1314"/>
      <c r="O50" s="1324"/>
    </row>
    <row r="51" spans="2:15" ht="29.25" customHeight="1">
      <c r="D51" s="1025"/>
      <c r="E51" s="1030"/>
      <c r="F51" s="1179"/>
      <c r="G51" s="3139" t="s">
        <v>148</v>
      </c>
      <c r="H51" s="3140"/>
      <c r="I51" s="3140"/>
      <c r="J51" s="3140"/>
      <c r="K51" s="3140"/>
      <c r="L51" s="3140"/>
      <c r="M51" s="3140"/>
      <c r="N51" s="3140"/>
      <c r="O51" s="3140"/>
    </row>
    <row r="52" spans="2:15" ht="15.75">
      <c r="D52" s="1025"/>
      <c r="E52" s="1030"/>
      <c r="F52" s="1179"/>
      <c r="G52" s="1225"/>
      <c r="H52" s="1225"/>
      <c r="I52" s="1225"/>
      <c r="J52" s="1225"/>
      <c r="K52" s="1225"/>
      <c r="L52" s="1225"/>
      <c r="M52" s="1225"/>
      <c r="N52" s="1225"/>
      <c r="O52" s="1225"/>
    </row>
    <row r="53" spans="2:15" ht="13.5" customHeight="1">
      <c r="D53" s="2563">
        <v>3</v>
      </c>
      <c r="E53" s="1263" t="s">
        <v>262</v>
      </c>
      <c r="F53" s="1032"/>
      <c r="G53" s="1033"/>
      <c r="H53" s="1033"/>
      <c r="I53" s="1448"/>
      <c r="J53" s="1033"/>
      <c r="K53" s="1033"/>
      <c r="L53" s="1033"/>
      <c r="M53" s="1033"/>
      <c r="N53" s="1033"/>
      <c r="O53" s="1033"/>
    </row>
    <row r="54" spans="2:15" ht="13.5" customHeight="1">
      <c r="D54" s="1551">
        <v>3.1</v>
      </c>
      <c r="E54" s="1263" t="s">
        <v>263</v>
      </c>
      <c r="F54" s="1033"/>
      <c r="G54" s="1033"/>
      <c r="H54" s="1033"/>
      <c r="I54" s="1448"/>
      <c r="J54" s="1033"/>
      <c r="K54" s="1033"/>
      <c r="L54" s="1033"/>
      <c r="M54" s="1033"/>
      <c r="N54" s="1033"/>
      <c r="O54" s="1033"/>
    </row>
    <row r="55" spans="2:15" ht="15" thickBot="1">
      <c r="B55" t="s">
        <v>857</v>
      </c>
      <c r="D55" s="2562"/>
      <c r="E55" s="1419"/>
      <c r="F55" s="1042"/>
      <c r="G55" s="1043"/>
      <c r="H55" s="1044"/>
      <c r="I55" s="1044"/>
      <c r="J55" s="1044"/>
      <c r="K55" s="1044"/>
      <c r="L55" s="1044"/>
      <c r="M55" s="3073" t="s">
        <v>1484</v>
      </c>
      <c r="N55" s="3073"/>
      <c r="O55" s="1420">
        <f>重み!M113</f>
        <v>0.5</v>
      </c>
    </row>
    <row r="56" spans="2:15" ht="23.25" customHeight="1" thickBot="1">
      <c r="B56" s="1288" t="s">
        <v>2771</v>
      </c>
      <c r="C56" t="s">
        <v>149</v>
      </c>
      <c r="D56" s="1025"/>
      <c r="E56" s="1035"/>
      <c r="F56" s="1449">
        <f>ROUND(IF(H83&lt;1,1,IF(H83=1,2,IF(H83&lt;=3,3,IF(H83&lt;=4,4,IF(H83&gt;=5,5))))),0)</f>
        <v>3</v>
      </c>
      <c r="G56" s="3074" t="s">
        <v>556</v>
      </c>
      <c r="H56" s="3075"/>
      <c r="I56" s="3075"/>
      <c r="J56" s="3075"/>
      <c r="K56" s="3075"/>
      <c r="L56" s="3075"/>
      <c r="M56" s="3075"/>
      <c r="N56" s="3075"/>
      <c r="O56" s="2895"/>
    </row>
    <row r="57" spans="2:15" ht="24.75" customHeight="1">
      <c r="D57" s="1025"/>
      <c r="E57" s="1035"/>
      <c r="F57" s="1056" t="str">
        <f>IF(ROUNDDOWN($F$56,0)=$S$10,$U$10,$T$10)</f>
        <v>　レベル　1</v>
      </c>
      <c r="G57" s="1058" t="s">
        <v>264</v>
      </c>
      <c r="H57" s="1059"/>
      <c r="I57" s="1059"/>
      <c r="J57" s="1059"/>
      <c r="K57" s="1059"/>
      <c r="L57" s="1059"/>
      <c r="M57" s="1059"/>
      <c r="N57" s="1059"/>
      <c r="O57" s="1060"/>
    </row>
    <row r="58" spans="2:15" ht="24.75" customHeight="1">
      <c r="D58" s="1025"/>
      <c r="E58" s="1035"/>
      <c r="F58" s="1061" t="str">
        <f>IF(ROUNDDOWN($F$56,0)=$S$11,$U$11,$T$11)</f>
        <v>　レベル　2</v>
      </c>
      <c r="G58" s="1065" t="s">
        <v>265</v>
      </c>
      <c r="H58" s="1066"/>
      <c r="I58" s="1066"/>
      <c r="J58" s="1066"/>
      <c r="K58" s="1066"/>
      <c r="L58" s="1066"/>
      <c r="M58" s="1066"/>
      <c r="N58" s="1066"/>
      <c r="O58" s="1067"/>
    </row>
    <row r="59" spans="2:15" ht="24.75" customHeight="1">
      <c r="D59" s="1025"/>
      <c r="E59" s="1035"/>
      <c r="F59" s="1061" t="str">
        <f>IF(ROUNDDOWN($F$56,0)=$S$12,$U$12,$T$12)</f>
        <v>■レベル　3</v>
      </c>
      <c r="G59" s="1065" t="s">
        <v>1166</v>
      </c>
      <c r="H59" s="1066"/>
      <c r="I59" s="1066"/>
      <c r="J59" s="1066"/>
      <c r="K59" s="1066"/>
      <c r="L59" s="1066"/>
      <c r="M59" s="1066"/>
      <c r="N59" s="1066"/>
      <c r="O59" s="1067"/>
    </row>
    <row r="60" spans="2:15" ht="24.75" customHeight="1">
      <c r="D60" s="1025"/>
      <c r="E60" s="1035"/>
      <c r="F60" s="1061" t="str">
        <f>IF(ROUNDDOWN($F$56,0)=$S$13,$U$13,$T$13)</f>
        <v>　レベル　4</v>
      </c>
      <c r="G60" s="1065" t="s">
        <v>1167</v>
      </c>
      <c r="H60" s="1066"/>
      <c r="I60" s="1066"/>
      <c r="J60" s="1066"/>
      <c r="K60" s="1066"/>
      <c r="L60" s="1066"/>
      <c r="M60" s="1066"/>
      <c r="N60" s="1066"/>
      <c r="O60" s="1067"/>
    </row>
    <row r="61" spans="2:15" ht="24.75" customHeight="1">
      <c r="D61" s="1025"/>
      <c r="E61" s="1035"/>
      <c r="F61" s="1072" t="str">
        <f>IF(ROUNDDOWN($F$56,0)=$S$14,$U$14,$T$14)</f>
        <v>　レベル　5</v>
      </c>
      <c r="G61" s="1076" t="s">
        <v>1168</v>
      </c>
      <c r="H61" s="1077"/>
      <c r="I61" s="1077"/>
      <c r="J61" s="1077"/>
      <c r="K61" s="1077"/>
      <c r="L61" s="1077"/>
      <c r="M61" s="1077"/>
      <c r="N61" s="1077"/>
      <c r="O61" s="1078"/>
    </row>
    <row r="62" spans="2:15" ht="23.25" customHeight="1">
      <c r="D62" s="1025"/>
      <c r="E62" s="1035"/>
      <c r="F62" s="1410"/>
      <c r="G62" s="1423" t="s">
        <v>466</v>
      </c>
      <c r="H62" s="1026"/>
      <c r="I62" s="1424"/>
      <c r="J62" s="1413"/>
      <c r="K62" s="1026"/>
      <c r="L62" s="1026"/>
      <c r="M62" s="1026"/>
      <c r="N62" s="1026"/>
      <c r="O62" s="1026"/>
    </row>
    <row r="63" spans="2:15" ht="28.5" customHeight="1" thickBot="1">
      <c r="D63" s="1025"/>
      <c r="E63" s="1035"/>
      <c r="F63" s="1410"/>
      <c r="G63" s="1425" t="s">
        <v>248</v>
      </c>
      <c r="H63" s="3078" t="s">
        <v>1877</v>
      </c>
      <c r="I63" s="3079"/>
      <c r="J63" s="3078" t="s">
        <v>1870</v>
      </c>
      <c r="K63" s="3079"/>
      <c r="L63" s="3079"/>
      <c r="M63" s="3079"/>
      <c r="N63" s="3080"/>
      <c r="O63" s="1317" t="s">
        <v>1878</v>
      </c>
    </row>
    <row r="64" spans="2:15" ht="48" customHeight="1">
      <c r="D64" s="1025"/>
      <c r="E64" s="577"/>
      <c r="F64" s="1410"/>
      <c r="G64" s="1450">
        <v>1</v>
      </c>
      <c r="H64" s="3119" t="s">
        <v>150</v>
      </c>
      <c r="I64" s="3120"/>
      <c r="J64" s="3028" t="s">
        <v>151</v>
      </c>
      <c r="K64" s="3042"/>
      <c r="L64" s="3042"/>
      <c r="M64" s="3042"/>
      <c r="N64" s="3043"/>
      <c r="O64" s="1451">
        <v>1</v>
      </c>
    </row>
    <row r="65" spans="2:15" ht="57.75" customHeight="1">
      <c r="D65" s="1025"/>
      <c r="E65" s="577"/>
      <c r="F65" s="1410"/>
      <c r="G65" s="1452">
        <v>1</v>
      </c>
      <c r="H65" s="3121"/>
      <c r="I65" s="3122"/>
      <c r="J65" s="3083" t="s">
        <v>1169</v>
      </c>
      <c r="K65" s="3084"/>
      <c r="L65" s="3084"/>
      <c r="M65" s="3084"/>
      <c r="N65" s="3085"/>
      <c r="O65" s="1447">
        <v>1</v>
      </c>
    </row>
    <row r="66" spans="2:15" ht="15.75" customHeight="1">
      <c r="D66" s="1025"/>
      <c r="E66" s="577"/>
      <c r="F66" s="1410"/>
      <c r="G66" s="3086">
        <v>1</v>
      </c>
      <c r="H66" s="3069" t="s">
        <v>152</v>
      </c>
      <c r="I66" s="3112"/>
      <c r="J66" s="3083" t="s">
        <v>740</v>
      </c>
      <c r="K66" s="3084"/>
      <c r="L66" s="3084"/>
      <c r="M66" s="3084"/>
      <c r="N66" s="3085"/>
      <c r="O66" s="3100">
        <v>1</v>
      </c>
    </row>
    <row r="67" spans="2:15" ht="53.25" customHeight="1">
      <c r="D67" s="1025"/>
      <c r="E67" s="577"/>
      <c r="F67" s="1410"/>
      <c r="G67" s="3099"/>
      <c r="H67" s="3071"/>
      <c r="I67" s="3113"/>
      <c r="J67" s="3091" t="s">
        <v>741</v>
      </c>
      <c r="K67" s="3092"/>
      <c r="L67" s="3092"/>
      <c r="M67" s="3092"/>
      <c r="N67" s="3093"/>
      <c r="O67" s="3101"/>
    </row>
    <row r="68" spans="2:15" ht="31.5" customHeight="1">
      <c r="D68" s="1025"/>
      <c r="E68" s="577"/>
      <c r="F68" s="1410"/>
      <c r="G68" s="3087"/>
      <c r="H68" s="3071"/>
      <c r="I68" s="3113"/>
      <c r="J68" s="3091" t="s">
        <v>742</v>
      </c>
      <c r="K68" s="3092"/>
      <c r="L68" s="3092"/>
      <c r="M68" s="3092"/>
      <c r="N68" s="3093"/>
      <c r="O68" s="3102"/>
    </row>
    <row r="69" spans="2:15" ht="52.5" customHeight="1">
      <c r="D69" s="1025"/>
      <c r="E69" s="577"/>
      <c r="F69" s="1410"/>
      <c r="G69" s="3086">
        <v>0</v>
      </c>
      <c r="H69" s="3071"/>
      <c r="I69" s="3113"/>
      <c r="J69" s="2984" t="s">
        <v>743</v>
      </c>
      <c r="K69" s="3064"/>
      <c r="L69" s="3064"/>
      <c r="M69" s="3064"/>
      <c r="N69" s="3065"/>
      <c r="O69" s="1455">
        <v>1</v>
      </c>
    </row>
    <row r="70" spans="2:15" ht="34.5" hidden="1" customHeight="1">
      <c r="D70" s="1025"/>
      <c r="E70" s="577"/>
      <c r="F70" s="1410"/>
      <c r="G70" s="3087"/>
      <c r="H70" s="3076"/>
      <c r="I70" s="3114"/>
      <c r="J70" s="1433" t="s">
        <v>744</v>
      </c>
      <c r="K70" s="1434"/>
      <c r="L70" s="1434"/>
      <c r="M70" s="1434"/>
      <c r="N70" s="1435"/>
      <c r="O70" s="1454"/>
    </row>
    <row r="71" spans="2:15" ht="20.25" customHeight="1">
      <c r="D71" s="1025"/>
      <c r="E71" s="577"/>
      <c r="F71" s="1410"/>
      <c r="G71" s="3086">
        <v>0</v>
      </c>
      <c r="H71" s="3069" t="s">
        <v>745</v>
      </c>
      <c r="I71" s="3070"/>
      <c r="J71" s="3083" t="s">
        <v>746</v>
      </c>
      <c r="K71" s="3084"/>
      <c r="L71" s="3084"/>
      <c r="M71" s="3084"/>
      <c r="N71" s="3085"/>
      <c r="O71" s="3100">
        <v>1</v>
      </c>
    </row>
    <row r="72" spans="2:15" ht="55.5" customHeight="1">
      <c r="D72" s="1025"/>
      <c r="E72" s="577"/>
      <c r="F72" s="1410"/>
      <c r="G72" s="3099"/>
      <c r="H72" s="3071"/>
      <c r="I72" s="3072"/>
      <c r="J72" s="3091" t="s">
        <v>1305</v>
      </c>
      <c r="K72" s="3092"/>
      <c r="L72" s="3092"/>
      <c r="M72" s="3092"/>
      <c r="N72" s="3093"/>
      <c r="O72" s="3101"/>
    </row>
    <row r="73" spans="2:15" ht="46.5" customHeight="1">
      <c r="D73" s="1025"/>
      <c r="E73" s="577"/>
      <c r="F73" s="1410"/>
      <c r="G73" s="3087"/>
      <c r="H73" s="3076"/>
      <c r="I73" s="3077"/>
      <c r="J73" s="2981" t="s">
        <v>1306</v>
      </c>
      <c r="K73" s="3081"/>
      <c r="L73" s="3081"/>
      <c r="M73" s="3081"/>
      <c r="N73" s="3082"/>
      <c r="O73" s="3102"/>
    </row>
    <row r="74" spans="2:15" ht="23.25" customHeight="1">
      <c r="D74" s="1025"/>
      <c r="E74" s="577"/>
      <c r="F74" s="1410"/>
      <c r="G74" s="3086">
        <v>0</v>
      </c>
      <c r="H74" s="3069" t="s">
        <v>2307</v>
      </c>
      <c r="I74" s="3070"/>
      <c r="J74" s="3083" t="s">
        <v>1307</v>
      </c>
      <c r="K74" s="3084"/>
      <c r="L74" s="3084"/>
      <c r="M74" s="3084"/>
      <c r="N74" s="3085"/>
      <c r="O74" s="3103">
        <v>1</v>
      </c>
    </row>
    <row r="75" spans="2:15" ht="48" customHeight="1">
      <c r="D75" s="1025"/>
      <c r="E75" s="577"/>
      <c r="F75" s="1410"/>
      <c r="G75" s="3099"/>
      <c r="H75" s="3071"/>
      <c r="I75" s="3072"/>
      <c r="J75" s="3091" t="s">
        <v>1308</v>
      </c>
      <c r="K75" s="3092"/>
      <c r="L75" s="3092"/>
      <c r="M75" s="3092"/>
      <c r="N75" s="3093"/>
      <c r="O75" s="3104"/>
    </row>
    <row r="76" spans="2:15" ht="46.5" customHeight="1">
      <c r="D76" s="1025"/>
      <c r="E76" s="577"/>
      <c r="F76" s="1410"/>
      <c r="G76" s="3099"/>
      <c r="H76" s="3071"/>
      <c r="I76" s="3072"/>
      <c r="J76" s="3091" t="s">
        <v>1309</v>
      </c>
      <c r="K76" s="3092"/>
      <c r="L76" s="3092"/>
      <c r="M76" s="3092"/>
      <c r="N76" s="3093"/>
      <c r="O76" s="3104"/>
    </row>
    <row r="77" spans="2:15" ht="51.75" customHeight="1">
      <c r="D77" s="1025"/>
      <c r="E77" s="577"/>
      <c r="F77" s="1410"/>
      <c r="G77" s="3099"/>
      <c r="H77" s="3076"/>
      <c r="I77" s="3077"/>
      <c r="J77" s="2981" t="s">
        <v>1310</v>
      </c>
      <c r="K77" s="3081"/>
      <c r="L77" s="3081"/>
      <c r="M77" s="3081"/>
      <c r="N77" s="3082"/>
      <c r="O77" s="3105"/>
    </row>
    <row r="78" spans="2:15" ht="51.75" hidden="1" customHeight="1">
      <c r="B78" s="1234" t="s">
        <v>2308</v>
      </c>
      <c r="D78" s="1025"/>
      <c r="E78" s="577"/>
      <c r="F78" s="1410"/>
      <c r="G78" s="1452">
        <v>0</v>
      </c>
      <c r="H78" s="3148" t="s">
        <v>2309</v>
      </c>
      <c r="I78" s="3149"/>
      <c r="J78" s="2984" t="s">
        <v>2310</v>
      </c>
      <c r="K78" s="3064"/>
      <c r="L78" s="3064"/>
      <c r="M78" s="3064"/>
      <c r="N78" s="3065"/>
      <c r="O78" s="1456">
        <v>1</v>
      </c>
    </row>
    <row r="79" spans="2:15" ht="51" customHeight="1">
      <c r="D79" s="1025"/>
      <c r="E79" s="577"/>
      <c r="F79" s="1410"/>
      <c r="G79" s="3086">
        <v>0</v>
      </c>
      <c r="H79" s="3069" t="s">
        <v>2311</v>
      </c>
      <c r="I79" s="3070"/>
      <c r="J79" s="3083" t="s">
        <v>2948</v>
      </c>
      <c r="K79" s="3084"/>
      <c r="L79" s="3084"/>
      <c r="M79" s="3084"/>
      <c r="N79" s="3085"/>
      <c r="O79" s="1323">
        <v>1</v>
      </c>
    </row>
    <row r="80" spans="2:15" ht="45" customHeight="1">
      <c r="D80" s="1025"/>
      <c r="E80" s="577"/>
      <c r="F80" s="1410"/>
      <c r="G80" s="3087"/>
      <c r="H80" s="3076"/>
      <c r="I80" s="3077"/>
      <c r="J80" s="2981" t="s">
        <v>2949</v>
      </c>
      <c r="K80" s="3081"/>
      <c r="L80" s="3081"/>
      <c r="M80" s="3081"/>
      <c r="N80" s="3082"/>
      <c r="O80" s="1457"/>
    </row>
    <row r="81" spans="4:15" ht="16.5" customHeight="1">
      <c r="D81" s="1025"/>
      <c r="E81" s="577"/>
      <c r="F81" s="1410"/>
      <c r="G81" s="3086">
        <v>0</v>
      </c>
      <c r="H81" s="3071" t="s">
        <v>2950</v>
      </c>
      <c r="I81" s="3072"/>
      <c r="J81" s="3091" t="s">
        <v>2817</v>
      </c>
      <c r="K81" s="3092"/>
      <c r="L81" s="3092"/>
      <c r="M81" s="3092"/>
      <c r="N81" s="3093"/>
      <c r="O81" s="3094">
        <v>1</v>
      </c>
    </row>
    <row r="82" spans="4:15" ht="41.25" customHeight="1" thickBot="1">
      <c r="D82" s="1025"/>
      <c r="E82" s="577"/>
      <c r="F82" s="1410"/>
      <c r="G82" s="3088"/>
      <c r="H82" s="3089"/>
      <c r="I82" s="3090"/>
      <c r="J82" s="3096"/>
      <c r="K82" s="3097"/>
      <c r="L82" s="3097"/>
      <c r="M82" s="3097"/>
      <c r="N82" s="3098"/>
      <c r="O82" s="3095"/>
    </row>
    <row r="83" spans="4:15" ht="29.25" customHeight="1">
      <c r="D83" s="1025"/>
      <c r="E83" s="577"/>
      <c r="F83" s="1410"/>
      <c r="G83" s="1312" t="s">
        <v>1423</v>
      </c>
      <c r="H83" s="2987">
        <f>SUM(G64:G82)</f>
        <v>3</v>
      </c>
      <c r="I83" s="2987"/>
      <c r="J83" s="1314"/>
      <c r="K83" s="1315"/>
      <c r="L83" s="1314"/>
      <c r="M83" s="1315"/>
      <c r="N83" s="1314"/>
      <c r="O83" s="1324"/>
    </row>
    <row r="84" spans="4:15" ht="21.75" customHeight="1">
      <c r="D84" s="1025"/>
      <c r="E84" s="577"/>
      <c r="F84" s="1026"/>
      <c r="G84" s="1026"/>
      <c r="H84" s="1026"/>
      <c r="I84" s="1026"/>
      <c r="J84" s="1413"/>
      <c r="K84" s="1026"/>
      <c r="L84" s="1026"/>
      <c r="M84" s="1026"/>
      <c r="N84" s="1026"/>
      <c r="O84" s="1026"/>
    </row>
    <row r="85" spans="4:15" ht="21.75" customHeight="1">
      <c r="D85" s="1551">
        <v>3.2</v>
      </c>
      <c r="E85" s="1263" t="s">
        <v>2818</v>
      </c>
      <c r="F85" s="1033"/>
      <c r="G85" s="1026"/>
      <c r="H85" s="1026"/>
      <c r="I85" s="1026"/>
      <c r="J85" s="1413"/>
      <c r="K85" s="1026"/>
      <c r="L85" s="1026"/>
      <c r="M85" s="1026"/>
      <c r="N85" s="1026"/>
      <c r="O85" s="1026"/>
    </row>
    <row r="86" spans="4:15" ht="14.25" thickBot="1">
      <c r="D86" s="1030"/>
      <c r="E86" s="577"/>
      <c r="F86" s="1042"/>
      <c r="G86" s="1043"/>
      <c r="H86" s="1044"/>
      <c r="I86" s="1044"/>
      <c r="J86" s="1044"/>
      <c r="K86" s="1044"/>
      <c r="L86" s="1044"/>
      <c r="M86" s="3073" t="s">
        <v>1484</v>
      </c>
      <c r="N86" s="3073"/>
      <c r="O86" s="1420">
        <f>重み!M114</f>
        <v>0.5</v>
      </c>
    </row>
    <row r="87" spans="4:15" ht="25.5" customHeight="1" thickBot="1">
      <c r="D87" s="1025"/>
      <c r="E87" s="1035"/>
      <c r="F87" s="1449">
        <f>ROUND(IF(H110=0,1,IF(H110&lt;=5,2,IF(H110&lt;=11,3,IF(H110&lt;=17,4,IF(H110&gt;=18,5))))),0)</f>
        <v>3</v>
      </c>
      <c r="G87" s="3074" t="s">
        <v>556</v>
      </c>
      <c r="H87" s="3075"/>
      <c r="I87" s="3075"/>
      <c r="J87" s="3075"/>
      <c r="K87" s="3075"/>
      <c r="L87" s="3075"/>
      <c r="M87" s="3075"/>
      <c r="N87" s="3075"/>
      <c r="O87" s="2895"/>
    </row>
    <row r="88" spans="4:15" ht="25.5" customHeight="1">
      <c r="D88" s="1025"/>
      <c r="E88" s="1035"/>
      <c r="F88" s="1056" t="str">
        <f>IF(ROUNDDOWN($F$87,0)=$S$10,$U$10,$T$10)</f>
        <v>　レベル　1</v>
      </c>
      <c r="G88" s="3028" t="s">
        <v>2312</v>
      </c>
      <c r="H88" s="3042"/>
      <c r="I88" s="3042"/>
      <c r="J88" s="3042"/>
      <c r="K88" s="3042"/>
      <c r="L88" s="3042"/>
      <c r="M88" s="3042"/>
      <c r="N88" s="3042"/>
      <c r="O88" s="3043"/>
    </row>
    <row r="89" spans="4:15" ht="25.5" customHeight="1">
      <c r="D89" s="1025"/>
      <c r="E89" s="1035"/>
      <c r="F89" s="1061" t="str">
        <f>IF(ROUNDDOWN($F$87,0)=$S$11,$U$11,$T$11)</f>
        <v>　レベル　2</v>
      </c>
      <c r="G89" s="2984" t="s">
        <v>2313</v>
      </c>
      <c r="H89" s="3064"/>
      <c r="I89" s="3064"/>
      <c r="J89" s="3064"/>
      <c r="K89" s="3064"/>
      <c r="L89" s="3064"/>
      <c r="M89" s="3064"/>
      <c r="N89" s="3064"/>
      <c r="O89" s="3065"/>
    </row>
    <row r="90" spans="4:15" ht="25.5" customHeight="1">
      <c r="D90" s="1025"/>
      <c r="E90" s="1035"/>
      <c r="F90" s="1061" t="str">
        <f>IF(ROUNDDOWN($F$87,0)=$S$12,$U$12,$T$12)</f>
        <v>■レベル　3</v>
      </c>
      <c r="G90" s="2984" t="s">
        <v>2314</v>
      </c>
      <c r="H90" s="3064"/>
      <c r="I90" s="3064"/>
      <c r="J90" s="3064"/>
      <c r="K90" s="3064"/>
      <c r="L90" s="3064"/>
      <c r="M90" s="3064"/>
      <c r="N90" s="3064"/>
      <c r="O90" s="3065"/>
    </row>
    <row r="91" spans="4:15" ht="25.5" customHeight="1">
      <c r="D91" s="1025"/>
      <c r="E91" s="1035"/>
      <c r="F91" s="1061" t="str">
        <f>IF(ROUNDDOWN($F$87,0)=$S$13,$U$13,$T$13)</f>
        <v>　レベル　4</v>
      </c>
      <c r="G91" s="2984" t="s">
        <v>2315</v>
      </c>
      <c r="H91" s="3064"/>
      <c r="I91" s="3064"/>
      <c r="J91" s="3064"/>
      <c r="K91" s="3064"/>
      <c r="L91" s="3064"/>
      <c r="M91" s="3064"/>
      <c r="N91" s="3064"/>
      <c r="O91" s="3065"/>
    </row>
    <row r="92" spans="4:15" ht="25.5" customHeight="1">
      <c r="D92" s="1025"/>
      <c r="E92" s="1035"/>
      <c r="F92" s="1072" t="str">
        <f>IF(ROUNDDOWN($F$87,0)=$S$14,$U$14,$T$14)</f>
        <v>　レベル　5</v>
      </c>
      <c r="G92" s="2978" t="s">
        <v>1442</v>
      </c>
      <c r="H92" s="3066"/>
      <c r="I92" s="3066"/>
      <c r="J92" s="3066"/>
      <c r="K92" s="3066"/>
      <c r="L92" s="3066"/>
      <c r="M92" s="3066"/>
      <c r="N92" s="3066"/>
      <c r="O92" s="3067"/>
    </row>
    <row r="93" spans="4:15">
      <c r="D93" s="1030"/>
      <c r="E93" s="577"/>
      <c r="F93" s="577"/>
      <c r="G93" s="1423" t="s">
        <v>466</v>
      </c>
      <c r="H93" s="577"/>
      <c r="I93" s="577"/>
      <c r="J93" s="577"/>
      <c r="K93" s="577"/>
      <c r="L93" s="577"/>
      <c r="M93" s="577"/>
      <c r="N93" s="577"/>
      <c r="O93" s="577"/>
    </row>
    <row r="94" spans="4:15" ht="25.5" customHeight="1" thickBot="1">
      <c r="D94" s="1025"/>
      <c r="E94" s="577"/>
      <c r="F94" s="1410"/>
      <c r="G94" s="1425" t="s">
        <v>248</v>
      </c>
      <c r="H94" s="3078" t="s">
        <v>1877</v>
      </c>
      <c r="I94" s="3079"/>
      <c r="J94" s="3078" t="s">
        <v>1870</v>
      </c>
      <c r="K94" s="3079"/>
      <c r="L94" s="3079"/>
      <c r="M94" s="3079"/>
      <c r="N94" s="3080"/>
      <c r="O94" s="1317" t="s">
        <v>1878</v>
      </c>
    </row>
    <row r="95" spans="4:15" ht="36" customHeight="1">
      <c r="G95" s="1450">
        <v>2</v>
      </c>
      <c r="H95" s="3069" t="s">
        <v>2819</v>
      </c>
      <c r="I95" s="3070"/>
      <c r="J95" s="3028" t="s">
        <v>2820</v>
      </c>
      <c r="K95" s="3042"/>
      <c r="L95" s="3042"/>
      <c r="M95" s="3042"/>
      <c r="N95" s="3043"/>
      <c r="O95" s="1451">
        <v>2</v>
      </c>
    </row>
    <row r="96" spans="4:15" ht="30.75" customHeight="1">
      <c r="G96" s="3086">
        <v>3</v>
      </c>
      <c r="H96" s="3071"/>
      <c r="I96" s="3072"/>
      <c r="J96" s="3083" t="s">
        <v>2821</v>
      </c>
      <c r="K96" s="3084"/>
      <c r="L96" s="3084"/>
      <c r="M96" s="3084"/>
      <c r="N96" s="3085"/>
      <c r="O96" s="3068" t="s">
        <v>251</v>
      </c>
    </row>
    <row r="97" spans="4:15" ht="57.75" customHeight="1">
      <c r="G97" s="3087"/>
      <c r="H97" s="3071"/>
      <c r="I97" s="3072"/>
      <c r="J97" s="2981" t="s">
        <v>2275</v>
      </c>
      <c r="K97" s="3081"/>
      <c r="L97" s="3081"/>
      <c r="M97" s="3081"/>
      <c r="N97" s="3082"/>
      <c r="O97" s="3068"/>
    </row>
    <row r="98" spans="4:15" ht="19.5" customHeight="1">
      <c r="G98" s="3086">
        <v>1</v>
      </c>
      <c r="H98" s="3069" t="s">
        <v>2276</v>
      </c>
      <c r="I98" s="3070"/>
      <c r="J98" s="3083" t="s">
        <v>2277</v>
      </c>
      <c r="K98" s="3084"/>
      <c r="L98" s="3084"/>
      <c r="M98" s="3084"/>
      <c r="N98" s="3085"/>
      <c r="O98" s="3068" t="s">
        <v>251</v>
      </c>
    </row>
    <row r="99" spans="4:15" ht="57.75" customHeight="1">
      <c r="G99" s="3087"/>
      <c r="H99" s="3076"/>
      <c r="I99" s="3077"/>
      <c r="J99" s="2981" t="s">
        <v>2278</v>
      </c>
      <c r="K99" s="3081"/>
      <c r="L99" s="3081"/>
      <c r="M99" s="3081"/>
      <c r="N99" s="3082"/>
      <c r="O99" s="3068"/>
    </row>
    <row r="100" spans="4:15" ht="30.75" customHeight="1">
      <c r="G100" s="3086">
        <v>0</v>
      </c>
      <c r="H100" s="3069" t="s">
        <v>2279</v>
      </c>
      <c r="I100" s="3070"/>
      <c r="J100" s="3083" t="s">
        <v>2280</v>
      </c>
      <c r="K100" s="3084"/>
      <c r="L100" s="3084"/>
      <c r="M100" s="3084"/>
      <c r="N100" s="3085"/>
      <c r="O100" s="3068" t="s">
        <v>251</v>
      </c>
    </row>
    <row r="101" spans="4:15" ht="57.75" customHeight="1">
      <c r="G101" s="3087"/>
      <c r="H101" s="3071"/>
      <c r="I101" s="3072"/>
      <c r="J101" s="2981" t="s">
        <v>1314</v>
      </c>
      <c r="K101" s="3081"/>
      <c r="L101" s="3081"/>
      <c r="M101" s="3081"/>
      <c r="N101" s="3082"/>
      <c r="O101" s="3068"/>
    </row>
    <row r="102" spans="4:15" ht="19.5" customHeight="1">
      <c r="G102" s="3086">
        <v>0</v>
      </c>
      <c r="H102" s="3071"/>
      <c r="I102" s="3072"/>
      <c r="J102" s="3083" t="s">
        <v>2281</v>
      </c>
      <c r="K102" s="3084"/>
      <c r="L102" s="3084"/>
      <c r="M102" s="3084"/>
      <c r="N102" s="3085"/>
      <c r="O102" s="3068" t="s">
        <v>251</v>
      </c>
    </row>
    <row r="103" spans="4:15" ht="57.75" customHeight="1">
      <c r="G103" s="3087"/>
      <c r="H103" s="3076"/>
      <c r="I103" s="3077"/>
      <c r="J103" s="2981" t="s">
        <v>2282</v>
      </c>
      <c r="K103" s="3081"/>
      <c r="L103" s="3081"/>
      <c r="M103" s="3081"/>
      <c r="N103" s="3082"/>
      <c r="O103" s="3068"/>
    </row>
    <row r="104" spans="4:15" ht="19.5" customHeight="1">
      <c r="G104" s="3086">
        <v>0</v>
      </c>
      <c r="H104" s="3069" t="s">
        <v>2283</v>
      </c>
      <c r="I104" s="3070"/>
      <c r="J104" s="3083" t="s">
        <v>2320</v>
      </c>
      <c r="K104" s="3084"/>
      <c r="L104" s="3084"/>
      <c r="M104" s="3084"/>
      <c r="N104" s="3085"/>
      <c r="O104" s="3068" t="s">
        <v>1443</v>
      </c>
    </row>
    <row r="105" spans="4:15" ht="33.75" customHeight="1">
      <c r="G105" s="3087"/>
      <c r="H105" s="3071"/>
      <c r="I105" s="3072"/>
      <c r="J105" s="2981" t="s">
        <v>2321</v>
      </c>
      <c r="K105" s="3081"/>
      <c r="L105" s="3081"/>
      <c r="M105" s="3081"/>
      <c r="N105" s="3082"/>
      <c r="O105" s="3068"/>
    </row>
    <row r="106" spans="4:15" ht="19.5" customHeight="1">
      <c r="G106" s="3086">
        <v>0</v>
      </c>
      <c r="H106" s="3071"/>
      <c r="I106" s="3072"/>
      <c r="J106" s="3083" t="s">
        <v>2322</v>
      </c>
      <c r="K106" s="3084"/>
      <c r="L106" s="3084"/>
      <c r="M106" s="3084"/>
      <c r="N106" s="3085"/>
      <c r="O106" s="3068" t="s">
        <v>251</v>
      </c>
    </row>
    <row r="107" spans="4:15" ht="60.75" customHeight="1">
      <c r="G107" s="3087"/>
      <c r="H107" s="3076"/>
      <c r="I107" s="3077"/>
      <c r="J107" s="2981" t="s">
        <v>1074</v>
      </c>
      <c r="K107" s="3081"/>
      <c r="L107" s="3081"/>
      <c r="M107" s="3081"/>
      <c r="N107" s="3082"/>
      <c r="O107" s="3068"/>
    </row>
    <row r="108" spans="4:15" ht="69" customHeight="1">
      <c r="G108" s="1453">
        <v>0</v>
      </c>
      <c r="H108" s="3069" t="s">
        <v>1075</v>
      </c>
      <c r="I108" s="3070"/>
      <c r="J108" s="2984" t="s">
        <v>286</v>
      </c>
      <c r="K108" s="3064"/>
      <c r="L108" s="3064"/>
      <c r="M108" s="3064"/>
      <c r="N108" s="3065"/>
      <c r="O108" s="1458" t="s">
        <v>2754</v>
      </c>
    </row>
    <row r="109" spans="4:15" ht="74.25" customHeight="1" thickBot="1">
      <c r="G109" s="1459">
        <v>0</v>
      </c>
      <c r="H109" s="3076"/>
      <c r="I109" s="3077"/>
      <c r="J109" s="2981" t="s">
        <v>287</v>
      </c>
      <c r="K109" s="3081"/>
      <c r="L109" s="3081"/>
      <c r="M109" s="3081"/>
      <c r="N109" s="3082"/>
      <c r="O109" s="1460" t="s">
        <v>2754</v>
      </c>
    </row>
    <row r="110" spans="4:15" ht="30" customHeight="1">
      <c r="D110" s="1025"/>
      <c r="E110" s="1410"/>
      <c r="F110" s="1411"/>
      <c r="G110" s="1312" t="s">
        <v>1425</v>
      </c>
      <c r="H110" s="2987">
        <f>SUM(G95:G109)</f>
        <v>6</v>
      </c>
      <c r="I110" s="2987"/>
      <c r="J110" s="1314"/>
      <c r="K110" s="1315"/>
      <c r="L110" s="1314"/>
      <c r="M110" s="1315"/>
      <c r="N110" s="1314"/>
      <c r="O110" s="1324"/>
    </row>
    <row r="111" spans="4:15"/>
    <row r="112" spans="4:15" ht="13.5" hidden="1" customHeight="1"/>
    <row r="113" ht="13.5" hidden="1" customHeight="1"/>
    <row r="114" ht="13.5" hidden="1" customHeight="1"/>
    <row r="115" ht="13.5" hidden="1" customHeight="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sheetData>
  <sheetProtection password="9DA9" sheet="1" objects="1" scenarios="1"/>
  <mergeCells count="136">
    <mergeCell ref="G104:G105"/>
    <mergeCell ref="G106:G107"/>
    <mergeCell ref="J97:N97"/>
    <mergeCell ref="J98:N98"/>
    <mergeCell ref="G96:G97"/>
    <mergeCell ref="G98:G99"/>
    <mergeCell ref="G100:G101"/>
    <mergeCell ref="G102:G103"/>
    <mergeCell ref="H104:I107"/>
    <mergeCell ref="O100:O101"/>
    <mergeCell ref="O102:O103"/>
    <mergeCell ref="H108:I109"/>
    <mergeCell ref="J104:N104"/>
    <mergeCell ref="J105:N105"/>
    <mergeCell ref="J106:N106"/>
    <mergeCell ref="J107:N107"/>
    <mergeCell ref="J109:N109"/>
    <mergeCell ref="O66:O68"/>
    <mergeCell ref="J67:N67"/>
    <mergeCell ref="J68:N68"/>
    <mergeCell ref="J69:N69"/>
    <mergeCell ref="H83:I83"/>
    <mergeCell ref="H78:I78"/>
    <mergeCell ref="J78:N78"/>
    <mergeCell ref="O98:O99"/>
    <mergeCell ref="J26:N26"/>
    <mergeCell ref="M55:N55"/>
    <mergeCell ref="G56:O56"/>
    <mergeCell ref="H50:I50"/>
    <mergeCell ref="G51:O51"/>
    <mergeCell ref="H45:I45"/>
    <mergeCell ref="J45:N45"/>
    <mergeCell ref="H46:I46"/>
    <mergeCell ref="J46:N46"/>
    <mergeCell ref="H47:I47"/>
    <mergeCell ref="H28:I28"/>
    <mergeCell ref="M31:N31"/>
    <mergeCell ref="G32:O32"/>
    <mergeCell ref="H27:I27"/>
    <mergeCell ref="H44:I44"/>
    <mergeCell ref="J44:N44"/>
    <mergeCell ref="G48:G49"/>
    <mergeCell ref="H48:I49"/>
    <mergeCell ref="O48:O49"/>
    <mergeCell ref="J49:N49"/>
    <mergeCell ref="H43:I43"/>
    <mergeCell ref="M6:N6"/>
    <mergeCell ref="G7:O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H22:I24"/>
    <mergeCell ref="J25:N25"/>
    <mergeCell ref="G69:G70"/>
    <mergeCell ref="H66:I70"/>
    <mergeCell ref="J23:N23"/>
    <mergeCell ref="H42:I42"/>
    <mergeCell ref="J42:N42"/>
    <mergeCell ref="G34:O34"/>
    <mergeCell ref="G35:O35"/>
    <mergeCell ref="G36:O36"/>
    <mergeCell ref="G37:O37"/>
    <mergeCell ref="G40:O40"/>
    <mergeCell ref="J22:N22"/>
    <mergeCell ref="G33:O33"/>
    <mergeCell ref="H25:I26"/>
    <mergeCell ref="J24:N24"/>
    <mergeCell ref="J27:N27"/>
    <mergeCell ref="J43:N43"/>
    <mergeCell ref="H63:I63"/>
    <mergeCell ref="J63:N63"/>
    <mergeCell ref="H64:I65"/>
    <mergeCell ref="J64:N64"/>
    <mergeCell ref="J65:N65"/>
    <mergeCell ref="J47:N47"/>
    <mergeCell ref="G71:G73"/>
    <mergeCell ref="H71:I73"/>
    <mergeCell ref="J71:N71"/>
    <mergeCell ref="G66:G68"/>
    <mergeCell ref="J66:N66"/>
    <mergeCell ref="O71:O73"/>
    <mergeCell ref="J72:N72"/>
    <mergeCell ref="J73:N73"/>
    <mergeCell ref="G74:G77"/>
    <mergeCell ref="H74:I77"/>
    <mergeCell ref="J74:N74"/>
    <mergeCell ref="O74:O77"/>
    <mergeCell ref="J75:N75"/>
    <mergeCell ref="J76:N76"/>
    <mergeCell ref="J77:N77"/>
    <mergeCell ref="G79:G80"/>
    <mergeCell ref="H79:I80"/>
    <mergeCell ref="J79:N79"/>
    <mergeCell ref="J80:N80"/>
    <mergeCell ref="G81:G82"/>
    <mergeCell ref="H81:I82"/>
    <mergeCell ref="J81:N81"/>
    <mergeCell ref="O81:O82"/>
    <mergeCell ref="J82:N82"/>
    <mergeCell ref="H110:I110"/>
    <mergeCell ref="G89:O89"/>
    <mergeCell ref="G90:O90"/>
    <mergeCell ref="G91:O91"/>
    <mergeCell ref="G92:O92"/>
    <mergeCell ref="O96:O97"/>
    <mergeCell ref="H95:I97"/>
    <mergeCell ref="J108:N108"/>
    <mergeCell ref="M86:N86"/>
    <mergeCell ref="G87:O87"/>
    <mergeCell ref="G88:O88"/>
    <mergeCell ref="H98:I99"/>
    <mergeCell ref="H94:I94"/>
    <mergeCell ref="J94:N94"/>
    <mergeCell ref="J95:N95"/>
    <mergeCell ref="J99:N99"/>
    <mergeCell ref="H100:I103"/>
    <mergeCell ref="J101:N101"/>
    <mergeCell ref="J102:N102"/>
    <mergeCell ref="J103:N103"/>
    <mergeCell ref="J100:N100"/>
    <mergeCell ref="J96:N96"/>
    <mergeCell ref="O104:O105"/>
    <mergeCell ref="O106:O107"/>
  </mergeCells>
  <phoneticPr fontId="21"/>
  <conditionalFormatting sqref="G39">
    <cfRule type="expression" dxfId="61" priority="1" stopIfTrue="1">
      <formula>AND(OR(G39&lt;1,G39&gt;5),G39&lt;&gt;0)</formula>
    </cfRule>
    <cfRule type="expression" dxfId="60" priority="2" stopIfTrue="1">
      <formula>AND(O31&gt;0,I39="ON")</formula>
    </cfRule>
  </conditionalFormatting>
  <conditionalFormatting sqref="G20 G15:G17 G22:G27">
    <cfRule type="expression" dxfId="59" priority="3" stopIfTrue="1">
      <formula>$O$6&gt;0.001</formula>
    </cfRule>
  </conditionalFormatting>
  <conditionalFormatting sqref="J82:N82">
    <cfRule type="expression" dxfId="58" priority="4" stopIfTrue="1">
      <formula>$G$81=1</formula>
    </cfRule>
  </conditionalFormatting>
  <conditionalFormatting sqref="J49:N49">
    <cfRule type="expression" dxfId="57" priority="5" stopIfTrue="1">
      <formula>$G$48&gt;0</formula>
    </cfRule>
  </conditionalFormatting>
  <conditionalFormatting sqref="G81:G82 G64:G69 G71:G79">
    <cfRule type="expression" dxfId="56" priority="6" stopIfTrue="1">
      <formula>$O$55&gt;0.001</formula>
    </cfRule>
  </conditionalFormatting>
  <conditionalFormatting sqref="G43:G48">
    <cfRule type="expression" dxfId="55" priority="7" stopIfTrue="1">
      <formula>AND($O$31&gt;0.001,$I$39=0)</formula>
    </cfRule>
  </conditionalFormatting>
  <conditionalFormatting sqref="I39">
    <cfRule type="expression" dxfId="54" priority="8" stopIfTrue="1">
      <formula>$O$31&gt;0</formula>
    </cfRule>
  </conditionalFormatting>
  <conditionalFormatting sqref="G95:G109">
    <cfRule type="expression" dxfId="53" priority="9" stopIfTrue="1">
      <formula>$O$86&gt;0.001</formula>
    </cfRule>
  </conditionalFormatting>
  <dataValidations xWindow="204" yWindow="530" count="7">
    <dataValidation type="list" allowBlank="1" showInputMessage="1" showErrorMessage="1" sqref="G20 G108 G109">
      <formula1>"0,1,2"</formula1>
    </dataValidation>
    <dataValidation type="list" allowBlank="1" showInputMessage="1" showErrorMessage="1" sqref="G17:G19 G96:G103 G106:G107">
      <formula1>"0,1,2,3"</formula1>
    </dataValidation>
    <dataValidation type="list" allowBlank="1" showInputMessage="1" showErrorMessage="1" sqref="G81 G22:G27 G71 G69 G44:G49 G64:G66 G78:G79 G74">
      <formula1>"0,1"</formula1>
    </dataValidation>
    <dataValidation type="list" allowBlank="1" showInputMessage="1" showErrorMessage="1" sqref="G15:G16 G43 G95">
      <formula1>"0,2"</formula1>
    </dataValidation>
    <dataValidation type="list" allowBlank="1" showInputMessage="1" showErrorMessage="1" sqref="G39">
      <formula1>"1,2,3,4,5"</formula1>
    </dataValidation>
    <dataValidation type="list" allowBlank="1" showInputMessage="1" showErrorMessage="1" sqref="I39">
      <formula1>$T$3:$T$4</formula1>
    </dataValidation>
    <dataValidation type="list" allowBlank="1" showInputMessage="1" showErrorMessage="1" sqref="G104:G105">
      <formula1>"0,2,3"</formula1>
    </dataValidation>
  </dataValidations>
  <printOptions horizontalCentered="1"/>
  <pageMargins left="0.59055118110236227" right="0.59055118110236227" top="0.78740157480314965" bottom="0.59055118110236227" header="0.51181102362204722" footer="0.51181102362204722"/>
  <pageSetup paperSize="9" scale="68" fitToHeight="4" orientation="portrait" verticalDpi="4294967293" r:id="rId1"/>
  <headerFooter alignWithMargins="0">
    <oddHeader>&amp;L&amp;F&amp;R&amp;A</oddHeader>
    <oddFooter>&amp;C&amp;P/&amp;N</oddFooter>
  </headerFooter>
  <rowBreaks count="3" manualBreakCount="3">
    <brk id="29" max="16383" man="1"/>
    <brk id="52" max="16383" man="1"/>
    <brk id="84"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19</vt:i4>
      </vt:variant>
      <vt:variant>
        <vt:lpstr>名前付き一覧</vt:lpstr>
      </vt:variant>
      <vt:variant>
        <vt:i4>16</vt:i4>
      </vt:variant>
    </vt:vector>
  </HeadingPairs>
  <TitlesOfParts>
    <vt:vector baseType="lpstr" size="35">
      <vt:lpstr>メイン</vt:lpstr>
      <vt:lpstr>結果</vt:lpstr>
      <vt:lpstr>重点項目</vt:lpstr>
      <vt:lpstr>スコア</vt:lpstr>
      <vt:lpstr>配慮</vt:lpstr>
      <vt:lpstr>係数</vt:lpstr>
      <vt:lpstr>採点Q1</vt:lpstr>
      <vt:lpstr>採点Q2</vt:lpstr>
      <vt:lpstr>採点Q3</vt:lpstr>
      <vt:lpstr>採点LR1</vt:lpstr>
      <vt:lpstr>計画書</vt:lpstr>
      <vt:lpstr>採点LR2</vt:lpstr>
      <vt:lpstr>採点LR3</vt:lpstr>
      <vt:lpstr>CO2計算</vt:lpstr>
      <vt:lpstr>重み</vt:lpstr>
      <vt:lpstr>条件(標準)</vt:lpstr>
      <vt:lpstr>条件(個別)</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採点LR1!Print_Area</vt:lpstr>
      <vt:lpstr>採点LR2!Print_Area</vt:lpstr>
      <vt:lpstr>採点LR3!Print_Area</vt:lpstr>
      <vt:lpstr>採点Q1!Print_Area</vt:lpstr>
      <vt:lpstr>採点Q2!Print_Area</vt:lpstr>
      <vt:lpstr>重み!Print_Area</vt:lpstr>
      <vt:lpstr>'条件(個別)'!Print_Area</vt:lpstr>
      <vt:lpstr>重み!Print_Titles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2014-05-27T05:41:53Z</cp:lastPrinted>
  <dcterms:created xsi:type="dcterms:W3CDTF">2010-08-30T05:31:56Z</dcterms:created>
  <dcterms:modified xsi:type="dcterms:W3CDTF">2014-09-24T00:30:20Z</dcterms:modified>
</cp:coreProperties>
</file>